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eprivalova/Desktop/ТСЖ /Протокол №4/"/>
    </mc:Choice>
  </mc:AlternateContent>
  <xr:revisionPtr revIDLastSave="0" documentId="13_ncr:1_{B974C709-7C89-3D4F-B68E-D4CBA5893CD8}" xr6:coauthVersionLast="36" xr6:coauthVersionMax="36" xr10:uidLastSave="{00000000-0000-0000-0000-000000000000}"/>
  <bookViews>
    <workbookView xWindow="0" yWindow="460" windowWidth="28800" windowHeight="16640" activeTab="1" xr2:uid="{00000000-000D-0000-FFFF-FFFF00000000}"/>
  </bookViews>
  <sheets>
    <sheet name="общее" sheetId="2" r:id="rId1"/>
    <sheet name=" прил.4 -37,5" sheetId="4" r:id="rId2"/>
  </sheets>
  <definedNames>
    <definedName name="_xlnm.Print_Area" localSheetId="1">' прил.4 -37,5'!$A$1:$F$215</definedName>
  </definedNames>
  <calcPr calcId="181029" refMode="R1C1"/>
</workbook>
</file>

<file path=xl/calcChain.xml><?xml version="1.0" encoding="utf-8"?>
<calcChain xmlns="http://schemas.openxmlformats.org/spreadsheetml/2006/main">
  <c r="F8" i="4" l="1"/>
  <c r="F6" i="4" s="1"/>
  <c r="F14" i="4"/>
  <c r="E204" i="4" l="1"/>
  <c r="E203" i="4"/>
  <c r="E202" i="4"/>
  <c r="E208" i="4" l="1"/>
  <c r="D27" i="4"/>
  <c r="F9" i="4"/>
  <c r="F11" i="4"/>
  <c r="E214" i="4" l="1"/>
  <c r="E55" i="4" l="1"/>
  <c r="D25" i="4"/>
  <c r="E213" i="4"/>
  <c r="E201" i="4"/>
  <c r="E200" i="4" s="1"/>
  <c r="E198" i="4"/>
  <c r="E196" i="4"/>
  <c r="E194" i="4"/>
  <c r="E193" i="4" s="1"/>
  <c r="E192" i="4"/>
  <c r="E191" i="4"/>
  <c r="E181" i="4"/>
  <c r="E180" i="4"/>
  <c r="G179" i="4"/>
  <c r="G181" i="4" s="1"/>
  <c r="G177" i="4" s="1"/>
  <c r="C179" i="4"/>
  <c r="C177" i="4" s="1"/>
  <c r="E178" i="4"/>
  <c r="E171" i="4"/>
  <c r="E170" i="4"/>
  <c r="C169" i="4"/>
  <c r="E169" i="4" s="1"/>
  <c r="D168" i="4"/>
  <c r="E168" i="4" s="1"/>
  <c r="D167" i="4"/>
  <c r="E167" i="4" s="1"/>
  <c r="E166" i="4"/>
  <c r="E165" i="4"/>
  <c r="D165" i="4"/>
  <c r="D164" i="4"/>
  <c r="E164" i="4" s="1"/>
  <c r="E163" i="4"/>
  <c r="D162" i="4"/>
  <c r="E162" i="4" s="1"/>
  <c r="E160" i="4"/>
  <c r="E159" i="4"/>
  <c r="E158" i="4"/>
  <c r="E156" i="4"/>
  <c r="E155" i="4"/>
  <c r="D148" i="4"/>
  <c r="D147" i="4"/>
  <c r="D146" i="4"/>
  <c r="D145" i="4"/>
  <c r="D143" i="4"/>
  <c r="D142" i="4"/>
  <c r="E137" i="4"/>
  <c r="E135" i="4"/>
  <c r="E134" i="4"/>
  <c r="E133" i="4"/>
  <c r="E129" i="4"/>
  <c r="E128" i="4"/>
  <c r="C127" i="4"/>
  <c r="E126" i="4"/>
  <c r="C125" i="4"/>
  <c r="E125" i="4" s="1"/>
  <c r="E117" i="4"/>
  <c r="E112" i="4"/>
  <c r="E110" i="4"/>
  <c r="E107" i="4"/>
  <c r="E100" i="4"/>
  <c r="E88" i="4"/>
  <c r="E87" i="4" s="1"/>
  <c r="E83" i="4"/>
  <c r="E80" i="4"/>
  <c r="E79" i="4" s="1"/>
  <c r="E73" i="4"/>
  <c r="E71" i="4"/>
  <c r="D69" i="4"/>
  <c r="E69" i="4" s="1"/>
  <c r="E66" i="4"/>
  <c r="E64" i="4"/>
  <c r="E63" i="4" s="1"/>
  <c r="E54" i="4"/>
  <c r="E53" i="4"/>
  <c r="E52" i="4"/>
  <c r="E51" i="4"/>
  <c r="E50" i="4"/>
  <c r="E49" i="4"/>
  <c r="E48" i="4"/>
  <c r="E47" i="4"/>
  <c r="E45" i="4"/>
  <c r="D28" i="4"/>
  <c r="D26" i="4" s="1"/>
  <c r="G25" i="4"/>
  <c r="G24" i="4" s="1"/>
  <c r="F21" i="4"/>
  <c r="F16" i="4"/>
  <c r="F15" i="4"/>
  <c r="D33" i="4" l="1"/>
  <c r="E132" i="4"/>
  <c r="C212" i="4"/>
  <c r="E212" i="4" s="1"/>
  <c r="E205" i="4" s="1"/>
  <c r="F44" i="4"/>
  <c r="F202" i="4"/>
  <c r="E26" i="4"/>
  <c r="E141" i="4"/>
  <c r="F17" i="4"/>
  <c r="E195" i="4"/>
  <c r="E161" i="4"/>
  <c r="E68" i="4"/>
  <c r="E116" i="4"/>
  <c r="F53" i="4"/>
  <c r="F165" i="4"/>
  <c r="C185" i="4"/>
  <c r="E185" i="4" s="1"/>
  <c r="C186" i="4"/>
  <c r="E186" i="4" s="1"/>
  <c r="C182" i="4"/>
  <c r="C183" i="4"/>
  <c r="E183" i="4" s="1"/>
  <c r="C184" i="4"/>
  <c r="E184" i="4" s="1"/>
  <c r="C190" i="4"/>
  <c r="E190" i="4" s="1"/>
  <c r="F80" i="4"/>
  <c r="F64" i="4"/>
  <c r="E43" i="4"/>
  <c r="E42" i="4" s="1"/>
  <c r="E179" i="4"/>
  <c r="E61" i="4" l="1"/>
  <c r="E139" i="4"/>
  <c r="F169" i="4"/>
  <c r="F163" i="4"/>
  <c r="F155" i="4"/>
  <c r="F185" i="4"/>
  <c r="F52" i="4"/>
  <c r="F213" i="4"/>
  <c r="F125" i="4"/>
  <c r="F212" i="4"/>
  <c r="F158" i="4"/>
  <c r="F129" i="4"/>
  <c r="F71" i="4"/>
  <c r="F192" i="4"/>
  <c r="F168" i="4"/>
  <c r="F49" i="4"/>
  <c r="F156" i="4"/>
  <c r="F186" i="4"/>
  <c r="F170" i="4"/>
  <c r="F69" i="4"/>
  <c r="F204" i="4"/>
  <c r="F203" i="4"/>
  <c r="F190" i="4"/>
  <c r="F164" i="4"/>
  <c r="F112" i="4"/>
  <c r="F179" i="4"/>
  <c r="E177" i="4"/>
  <c r="E188" i="4" s="1"/>
  <c r="F167" i="4"/>
  <c r="F47" i="4"/>
  <c r="F184" i="4"/>
  <c r="F194" i="4"/>
  <c r="F193" i="4" s="1"/>
  <c r="F134" i="4"/>
  <c r="F215" i="4"/>
  <c r="F209" i="4"/>
  <c r="F157" i="4"/>
  <c r="F151" i="4"/>
  <c r="F131" i="4"/>
  <c r="F121" i="4"/>
  <c r="F115" i="4"/>
  <c r="F109" i="4"/>
  <c r="F102" i="4"/>
  <c r="F95" i="4"/>
  <c r="F82" i="4"/>
  <c r="F76" i="4"/>
  <c r="F70" i="4"/>
  <c r="F60" i="4"/>
  <c r="F45" i="4"/>
  <c r="F173" i="4"/>
  <c r="F143" i="4"/>
  <c r="F91" i="4"/>
  <c r="F172" i="4"/>
  <c r="F124" i="4"/>
  <c r="F105" i="4"/>
  <c r="F84" i="4"/>
  <c r="F127" i="4"/>
  <c r="F152" i="4"/>
  <c r="F136" i="4"/>
  <c r="F135" i="4" s="1"/>
  <c r="F214" i="4"/>
  <c r="F208" i="4"/>
  <c r="F150" i="4"/>
  <c r="F145" i="4"/>
  <c r="F130" i="4"/>
  <c r="F120" i="4"/>
  <c r="F114" i="4"/>
  <c r="F108" i="4"/>
  <c r="F101" i="4"/>
  <c r="F94" i="4"/>
  <c r="F81" i="4"/>
  <c r="F75" i="4"/>
  <c r="F65" i="4"/>
  <c r="F63" i="4" s="1"/>
  <c r="F59" i="4"/>
  <c r="F138" i="4"/>
  <c r="F137" i="4" s="1"/>
  <c r="F85" i="4"/>
  <c r="F147" i="4"/>
  <c r="F111" i="4"/>
  <c r="F142" i="4"/>
  <c r="F123" i="4"/>
  <c r="F104" i="4"/>
  <c r="F89" i="4"/>
  <c r="F67" i="4"/>
  <c r="F66" i="4" s="1"/>
  <c r="F210" i="4"/>
  <c r="F88" i="4"/>
  <c r="F54" i="4"/>
  <c r="F207" i="4"/>
  <c r="F199" i="4"/>
  <c r="F149" i="4"/>
  <c r="F119" i="4"/>
  <c r="F113" i="4"/>
  <c r="F93" i="4"/>
  <c r="F74" i="4"/>
  <c r="F58" i="4"/>
  <c r="F99" i="4"/>
  <c r="F197" i="4"/>
  <c r="F98" i="4"/>
  <c r="F211" i="4"/>
  <c r="F78" i="4"/>
  <c r="F174" i="4"/>
  <c r="F148" i="4"/>
  <c r="F144" i="4"/>
  <c r="F118" i="4"/>
  <c r="F92" i="4"/>
  <c r="F86" i="4"/>
  <c r="F57" i="4"/>
  <c r="F106" i="4"/>
  <c r="F56" i="4"/>
  <c r="F154" i="4"/>
  <c r="F90" i="4"/>
  <c r="F72" i="4"/>
  <c r="F153" i="4"/>
  <c r="F97" i="4"/>
  <c r="F146" i="4"/>
  <c r="F122" i="4"/>
  <c r="F96" i="4"/>
  <c r="F46" i="4"/>
  <c r="F103" i="4"/>
  <c r="F77" i="4"/>
  <c r="F50" i="4"/>
  <c r="F196" i="4"/>
  <c r="F128" i="4"/>
  <c r="F183" i="4"/>
  <c r="F178" i="4"/>
  <c r="F117" i="4"/>
  <c r="F162" i="4"/>
  <c r="F126" i="4"/>
  <c r="F133" i="4"/>
  <c r="F180" i="4"/>
  <c r="F48" i="4"/>
  <c r="F51" i="4"/>
  <c r="F198" i="4"/>
  <c r="F166" i="4"/>
  <c r="F160" i="4"/>
  <c r="F159" i="4" s="1"/>
  <c r="F191" i="4"/>
  <c r="F181" i="4"/>
  <c r="F79" i="4" l="1"/>
  <c r="F205" i="4"/>
  <c r="F55" i="4"/>
  <c r="F107" i="4"/>
  <c r="F201" i="4"/>
  <c r="F200" i="4" s="1"/>
  <c r="F182" i="4"/>
  <c r="F161" i="4"/>
  <c r="F83" i="4"/>
  <c r="F116" i="4"/>
  <c r="F43" i="4"/>
  <c r="F141" i="4"/>
  <c r="F177" i="4"/>
  <c r="F110" i="4"/>
  <c r="F171" i="4"/>
  <c r="F68" i="4"/>
  <c r="F73" i="4"/>
  <c r="F87" i="4"/>
  <c r="F100" i="4"/>
  <c r="E182" i="4"/>
  <c r="F132" i="4"/>
  <c r="F195" i="4"/>
  <c r="F42" i="4" l="1"/>
  <c r="F139" i="4"/>
  <c r="F61" i="4"/>
  <c r="E189" i="4"/>
  <c r="F189" i="4" s="1"/>
  <c r="F188" i="4"/>
  <c r="E187" i="4" l="1"/>
  <c r="E175" i="4" s="1"/>
  <c r="E41" i="4" s="1"/>
  <c r="F187" i="4"/>
  <c r="F175" i="4" s="1"/>
  <c r="F41" i="4" s="1"/>
  <c r="F40" i="4" l="1"/>
  <c r="E40" i="4"/>
  <c r="F28" i="4" l="1"/>
  <c r="E28" i="4" s="1"/>
  <c r="F27" i="4"/>
  <c r="E27" i="4" s="1"/>
  <c r="F25" i="4"/>
  <c r="C21" i="2"/>
  <c r="C15" i="2"/>
  <c r="C14" i="2"/>
  <c r="C16" i="2" s="1"/>
  <c r="D10" i="2"/>
  <c r="D7" i="2" s="1"/>
  <c r="C10" i="2"/>
  <c r="G26" i="4" l="1"/>
  <c r="E25" i="4"/>
  <c r="E33" i="4" s="1"/>
  <c r="E34" i="4" l="1"/>
  <c r="G41" i="4" s="1"/>
  <c r="F33" i="4"/>
  <c r="G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9" authorId="0" shapeId="0" xr:uid="{12BE0B94-3DB4-B944-9EC0-34874227CAD8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613,2 по решению суда. выписка от 22.03.21</t>
        </r>
      </text>
    </comment>
    <comment ref="E59" authorId="0" shapeId="0" xr:uid="{CA5D0AA8-ED19-754D-BC67-FF075296ACCF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замена витража на 7 этаже</t>
        </r>
      </text>
    </comment>
    <comment ref="D64" authorId="0" shapeId="0" xr:uid="{AB49CAC3-D8C7-2946-9DBD-690E9E868A7E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3 раза  горгаз</t>
        </r>
      </text>
    </comment>
    <comment ref="E82" authorId="0" shapeId="0" xr:uid="{E5DB72F2-610C-F64A-B00E-78643469E6CC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общедомовой счетчик замена по акту до 15.11</t>
        </r>
      </text>
    </comment>
    <comment ref="E122" authorId="0" shapeId="0" xr:uid="{25CC91DD-2FE1-BF42-A405-CD59951E5681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1300</t>
        </r>
      </text>
    </comment>
    <comment ref="C125" authorId="0" shapeId="0" xr:uid="{B7960B21-8E70-2847-8F54-E735FBA234D4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а пож.насосная огетушитель</t>
        </r>
      </text>
    </comment>
    <comment ref="C127" authorId="0" shapeId="0" xr:uid="{28C59F6E-F3CE-0E4F-AE18-031AE80E2B6B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а пож.насосная огетушитель</t>
        </r>
      </text>
    </comment>
    <comment ref="E128" authorId="0" shapeId="0" xr:uid="{2483E67E-C484-DA47-8879-19CF394511C8}">
      <text>
        <r>
          <rPr>
            <b/>
            <sz val="10"/>
            <color rgb="FF000000"/>
            <rFont val="Tahoma"/>
            <family val="2"/>
            <charset val="204"/>
          </rPr>
          <t>Microsoft Office User: 700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пожсервис  рукав +  450 -шкаф и головка\муфта</t>
        </r>
      </text>
    </comment>
    <comment ref="E169" authorId="0" shapeId="0" xr:uid="{69DDB02F-DCE8-C64D-ABFF-06081BC647B9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грабли?</t>
        </r>
      </text>
    </comment>
  </commentList>
</comments>
</file>

<file path=xl/sharedStrings.xml><?xml version="1.0" encoding="utf-8"?>
<sst xmlns="http://schemas.openxmlformats.org/spreadsheetml/2006/main" count="580" uniqueCount="419">
  <si>
    <t>Техническое обслуживание и ремонт лифтов</t>
  </si>
  <si>
    <t>Техническое обслуживание лифтов</t>
  </si>
  <si>
    <t>11.1</t>
  </si>
  <si>
    <t>10.2</t>
  </si>
  <si>
    <t>10.1</t>
  </si>
  <si>
    <t>10</t>
  </si>
  <si>
    <t>9</t>
  </si>
  <si>
    <t>8</t>
  </si>
  <si>
    <t>Проверка и обеспечение работоспособности устройств защитного отключения</t>
  </si>
  <si>
    <t>7</t>
  </si>
  <si>
    <t>Аварийное обслуживавние оборудования и сетей электроснабжения</t>
  </si>
  <si>
    <t>Аварийное обслуживавние оборудования и сетей водоотведения</t>
  </si>
  <si>
    <t>Аварийное обслуживавние оборудования и сетей ХВС</t>
  </si>
  <si>
    <t>6</t>
  </si>
  <si>
    <t>м2 площади чердаков и подвалов</t>
  </si>
  <si>
    <t>Дератизация чердаков и подвалов с применением готовой приманки</t>
  </si>
  <si>
    <t>Дезинсекция и дератизация</t>
  </si>
  <si>
    <t>4.1.</t>
  </si>
  <si>
    <t>4</t>
  </si>
  <si>
    <t>м2 площади МОП</t>
  </si>
  <si>
    <t>м2 площади 4 и выше этажей</t>
  </si>
  <si>
    <t>м2 площади 1-3 этажей</t>
  </si>
  <si>
    <t>2.1.</t>
  </si>
  <si>
    <t>№ п/п</t>
  </si>
  <si>
    <t>центральное</t>
  </si>
  <si>
    <t>Кол-во проживающих</t>
  </si>
  <si>
    <t>Кол-во лифтов, шт</t>
  </si>
  <si>
    <t>Урна, шт</t>
  </si>
  <si>
    <t>Дверь,шт</t>
  </si>
  <si>
    <t>Кол-во дверей в подъезде</t>
  </si>
  <si>
    <t>Кол-во подъездов</t>
  </si>
  <si>
    <t>Кол-во этажей</t>
  </si>
  <si>
    <t>Год постройки</t>
  </si>
  <si>
    <t>Краткая характеристика дома</t>
  </si>
  <si>
    <t>Уборочая площадь МОП 4эт.и выше,м2</t>
  </si>
  <si>
    <t>Уборочая площадь МОП 1-3 эт.,м2</t>
  </si>
  <si>
    <t>Площадь мест общего пользования ,м2</t>
  </si>
  <si>
    <t>I. Работы, необходимые для надлежащего содержания несущих конструкций и ненесущих конструкций многоквартирного дома</t>
  </si>
  <si>
    <t>III. Работы и услуги по содержанию иного общего имущества в многоквартирном доме</t>
  </si>
  <si>
    <t>Техническое обслуживание систем вентиляции</t>
  </si>
  <si>
    <t>Текущий ремонт систем вентиляции</t>
  </si>
  <si>
    <t>при необходимости</t>
  </si>
  <si>
    <t>Техническое обслуживание системы газоснабжения</t>
  </si>
  <si>
    <t>Техническое обслуживание системы ХВС</t>
  </si>
  <si>
    <t>Текущий ремонт системы электроснабжения</t>
  </si>
  <si>
    <t>Текущий ремонт системы ХВС</t>
  </si>
  <si>
    <t>Техническое обслуживание конструктивных элементов</t>
  </si>
  <si>
    <t>Проверка кровли на отсутствие протечек</t>
  </si>
  <si>
    <t>Проверка температурно-влажностного режима и воздухообмена на чердаке</t>
  </si>
  <si>
    <t>Проверка и при необходимости очистка кровли от скопления снега и наледи</t>
  </si>
  <si>
    <t>При выявлении нарушений, приводящих к протечкам кровли, - незамедлительное их устранение. В остальных случаях - разработка плана восстановительных работ (при необходимости), проведение восстановительных работ</t>
  </si>
  <si>
    <t>Проверка технического состояния видимых частей конструкций фундамента</t>
  </si>
  <si>
    <t>Осмотр стен</t>
  </si>
  <si>
    <t>Контроль состояния и восстановление плотности притворов входных дверей</t>
  </si>
  <si>
    <t>При наличии угрозы обрушения отделочных слоев или нарушения защитных свойств отделки по отношению к несущим конструкциям и инженерному оборудованию - устранение выявленных нарушений</t>
  </si>
  <si>
    <t>Проверка состояния перегородок, внутренней отделки, полов помещений, относящихся к общему имуществу в многоквартирном доме</t>
  </si>
  <si>
    <t>При выявлении нарушений целостности оконных и дверных заполнений в отопительный период - незамедлительный ремонт. В остальных случаях - разработка плана восстановительных работ (при необходимости), проведение восстановительных работ</t>
  </si>
  <si>
    <t>Осмотр перекрытий и покрытий</t>
  </si>
  <si>
    <t xml:space="preserve">При выявлении повреждений и нарушений конструктивных элементов - разработка плана восстановительных работ </t>
  </si>
  <si>
    <t xml:space="preserve">Проверка состояния гидроизоляции фундаментов </t>
  </si>
  <si>
    <t>Текущий ремонт конструктивных элементов</t>
  </si>
  <si>
    <t xml:space="preserve">Восстановление или замена отдельных элементов крылец 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</si>
  <si>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</si>
  <si>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При выявлении повреждений и нарушений - разработка плана восстановительных работ</t>
  </si>
  <si>
    <t>Устранение неплотностей, засоров в вентиляционных каналах</t>
  </si>
  <si>
    <t>Восстановление герметичности участков трубопроводов и соединительных элементов в случае их разгерметизации</t>
  </si>
  <si>
    <t>Постоянный контроль параметров воды (давления, расхода) и незамедлительное принятие мер к восстановлению требуемых параметров водоснабжения</t>
  </si>
  <si>
    <t>Текущий ремонт системы водоотведения, канализации</t>
  </si>
  <si>
    <t>Восстановление исправности элементов внутренней канализации</t>
  </si>
  <si>
    <t xml:space="preserve">Замена вышедших из строя датчиков, проводки </t>
  </si>
  <si>
    <t>1 раз в 2 года</t>
  </si>
  <si>
    <t>постоянно</t>
  </si>
  <si>
    <t>1</t>
  </si>
  <si>
    <t>2</t>
  </si>
  <si>
    <t>2.</t>
  </si>
  <si>
    <t>3</t>
  </si>
  <si>
    <t>11</t>
  </si>
  <si>
    <t>12</t>
  </si>
  <si>
    <t>13</t>
  </si>
  <si>
    <t>Площадь уборки дворовой территории  хоз. площадки дворником,м2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</si>
  <si>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</si>
  <si>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</si>
  <si>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</si>
  <si>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</si>
  <si>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</si>
  <si>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</si>
  <si>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</si>
  <si>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</si>
  <si>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</si>
  <si>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</si>
  <si>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</si>
  <si>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3.1</t>
  </si>
  <si>
    <t>3.2</t>
  </si>
  <si>
    <t>3.3</t>
  </si>
  <si>
    <t>3.4</t>
  </si>
  <si>
    <t>3.5</t>
  </si>
  <si>
    <t>3.6</t>
  </si>
  <si>
    <t>3.7</t>
  </si>
  <si>
    <t>1.12</t>
  </si>
  <si>
    <t>2.1</t>
  </si>
  <si>
    <t>2.2</t>
  </si>
  <si>
    <t>2.3</t>
  </si>
  <si>
    <t>2.4</t>
  </si>
  <si>
    <t>4.1</t>
  </si>
  <si>
    <t>4.2</t>
  </si>
  <si>
    <t>6.1</t>
  </si>
  <si>
    <t>6.2</t>
  </si>
  <si>
    <t>7.1</t>
  </si>
  <si>
    <t>7.2</t>
  </si>
  <si>
    <t>7.3</t>
  </si>
  <si>
    <t>7.4</t>
  </si>
  <si>
    <t>8.1</t>
  </si>
  <si>
    <t>8.2</t>
  </si>
  <si>
    <t>Техническое обслуживание системы электроснабжения</t>
  </si>
  <si>
    <t>м2 площади</t>
  </si>
  <si>
    <t>5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</si>
  <si>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</si>
  <si>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 xml:space="preserve"> IV. Услуги и работы по управлению многоквартирным домом</t>
  </si>
  <si>
    <t>11.2</t>
  </si>
  <si>
    <t>14</t>
  </si>
  <si>
    <t>Наименование конструктивных характеристик многоквартирного дома, перечень работ и услуг по содержанию МКД</t>
  </si>
  <si>
    <t>Общая площадь жилых и нежилых помещений, м2</t>
  </si>
  <si>
    <t>Расчет экономически-обоснованного тарифа на выполнение</t>
  </si>
  <si>
    <t xml:space="preserve">        обязательных работ и услуг по содержанию и ремонту общего имущества собственников помещений  в многоквартирном доме</t>
  </si>
  <si>
    <t>Общая площадь здания согласно тех.паспорта, м2:</t>
  </si>
  <si>
    <t>ГПК "Приморский 3",м2</t>
  </si>
  <si>
    <t>ПАО "Сбербанк",м2</t>
  </si>
  <si>
    <t>площадь, м2</t>
  </si>
  <si>
    <t>кол-во</t>
  </si>
  <si>
    <t>2011</t>
  </si>
  <si>
    <t>Площадь лит.А- технического этажа (крыша), м2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</si>
  <si>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</si>
  <si>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</si>
  <si>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</si>
  <si>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</si>
  <si>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</si>
  <si>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</si>
  <si>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</si>
  <si>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</si>
  <si>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</si>
  <si>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</si>
  <si>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</si>
  <si>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</si>
  <si>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</si>
  <si>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</si>
  <si>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</si>
  <si>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Уборочная площадь МОП подвал,м2</t>
  </si>
  <si>
    <t>23:40:0403017:353</t>
  </si>
  <si>
    <t>Площадь земельного участка, м2 /кадастровая стоимость, руб</t>
  </si>
  <si>
    <t>24 616 079,18</t>
  </si>
  <si>
    <t>в т.ч: жилая /вспомогательная</t>
  </si>
  <si>
    <t>2873/2841,4</t>
  </si>
  <si>
    <t>Площадь территории фактического землепользования, застроенная, м2</t>
  </si>
  <si>
    <t>23:40:0403017:1353</t>
  </si>
  <si>
    <t>кадастровый 
номер</t>
  </si>
  <si>
    <t>Площадь подвала (тех. подполье) за искл.пожарной, насосной, электр.</t>
  </si>
  <si>
    <t>пассажирские</t>
  </si>
  <si>
    <t>Газоснабжение общедомовое/по-квартирное</t>
  </si>
  <si>
    <t xml:space="preserve">автономное </t>
  </si>
  <si>
    <t>сетевое</t>
  </si>
  <si>
    <t>приточно-вытяжная</t>
  </si>
  <si>
    <t>Водоотведение</t>
  </si>
  <si>
    <t>Вентиляция</t>
  </si>
  <si>
    <t>Промывка систем водоснабжения, накопительных емкостей для удаления накипно-коррозионных отложений. Анализ воды</t>
  </si>
  <si>
    <t>Восстановление работоспособности (ремонт, замена) оборудования и водоразборных приборов ( смесителей, кранов и т.п.), относящихся к общему имуществу в многоквартирном доме</t>
  </si>
  <si>
    <t>4.3</t>
  </si>
  <si>
    <t>Проветривание колодцев, прочистка канализационного лежака</t>
  </si>
  <si>
    <t>Укрепление водосточных труб, колен и воронок; укрепление расшатавшихся приборов в местах их присоединенияк водопроводу, укрепление трубопроводов.</t>
  </si>
  <si>
    <t>10.3</t>
  </si>
  <si>
    <t>Промывка участков водопровода после выполнения ремонтно-строительных работ</t>
  </si>
  <si>
    <t>Периодические контрольные осмотры ИПУ, замена и опломбирование счетчиков</t>
  </si>
  <si>
    <t>5.1.</t>
  </si>
  <si>
    <t>5.2.</t>
  </si>
  <si>
    <t>5.3.</t>
  </si>
  <si>
    <t>6.3</t>
  </si>
  <si>
    <t>Контроль состояния и замена неисправных контрольно-измерительных приборов (манометров, термоментров, системы управления насосами и т.д.)</t>
  </si>
  <si>
    <t xml:space="preserve">Контроль состояния элементов внутренней канализации, канализационных вытяжек, внутреннего водостока, дренажных систем </t>
  </si>
  <si>
    <t>Страхование лифтов</t>
  </si>
  <si>
    <t>9.1</t>
  </si>
  <si>
    <t>Снятие контрольных показаний приборов учета</t>
  </si>
  <si>
    <t>1.13</t>
  </si>
  <si>
    <t>1.14</t>
  </si>
  <si>
    <t>Лифты</t>
  </si>
  <si>
    <t>Хол.водоснабжение</t>
  </si>
  <si>
    <r>
      <t>а) общая площадь</t>
    </r>
    <r>
      <rPr>
        <b/>
        <sz val="12"/>
        <rFont val="Times New Roman"/>
        <family val="1"/>
      </rPr>
      <t xml:space="preserve"> жилых</t>
    </r>
    <r>
      <rPr>
        <sz val="12"/>
        <rFont val="Times New Roman"/>
        <family val="1"/>
        <charset val="204"/>
      </rPr>
      <t xml:space="preserve"> помещений (общая площадь квартир), м2</t>
    </r>
  </si>
  <si>
    <r>
      <t>б) общая площадь</t>
    </r>
    <r>
      <rPr>
        <b/>
        <sz val="12"/>
        <rFont val="Times New Roman"/>
        <family val="1"/>
      </rPr>
      <t xml:space="preserve"> (не)жилых</t>
    </r>
    <r>
      <rPr>
        <sz val="12"/>
        <rFont val="Times New Roman"/>
        <family val="1"/>
        <charset val="204"/>
      </rPr>
      <t xml:space="preserve"> помещений, в т.ч.:</t>
    </r>
  </si>
  <si>
    <t>Наименование вида услуги (работы)</t>
  </si>
  <si>
    <t>Единица измерения/ обслуживания</t>
  </si>
  <si>
    <t>Стоимость на кв.м.в мес, руб.</t>
  </si>
  <si>
    <t>расположенном по адресу:Краснодарский край, г. Геленджик, ул. Красногвардейская д.36</t>
  </si>
  <si>
    <t xml:space="preserve">        обязательных работ и услуг по содержанию и ремонту общего имущества собственников помещений  в многоквартирном доме,</t>
  </si>
  <si>
    <t>расположенном по адресу: Краснодарский край, г. Геленджик, ул. Красногвардейская д.36</t>
  </si>
  <si>
    <t>в ценах на октябрь 2021 г.</t>
  </si>
  <si>
    <t>в расчете на год</t>
  </si>
  <si>
    <t xml:space="preserve">Площадь земельного участка, м2 </t>
  </si>
  <si>
    <t>кв.м.</t>
  </si>
  <si>
    <t>ОБЯЗАТЕЛЬНЫЕ ПЛАТЕЖИ: Содержание, обслуживание и текущий ремонт общего имущества</t>
  </si>
  <si>
    <t>ПРОЧИЕ ПОСТУПЛЕНИЯ</t>
  </si>
  <si>
    <t>Площадь, м2</t>
  </si>
  <si>
    <t>Стоимость руб.,в месяц</t>
  </si>
  <si>
    <t>(месяцев)</t>
  </si>
  <si>
    <t>II.РАСХОДЫ</t>
  </si>
  <si>
    <t>I.ДОХОДЫ</t>
  </si>
  <si>
    <t>ВСТУПИТЕЛЬНЫЕ И ИНЫЕ ВЗНОСЫ (ДОБРОВОЛЬНЫЕ, ЦЕЛЕВЫЕ) ЧЛЕНОВ ТОВАРИЩЕСТВА</t>
  </si>
  <si>
    <t>ДОХОДЫ ОТ ХОЗ.ДЕЯТ-ТИ, НАПРАВЛЕННЫЕ НА ОСУЩЕСТВЛЕНИЕ ЦЕЛЕЙ, ЗАДАЧ И ВЫПОЛНЕНИЯ ОБЯЗАННОСТЕЙ ТОВАРИЩЕСТВА</t>
  </si>
  <si>
    <t>м2 общ. площади</t>
  </si>
  <si>
    <t>II. Работы, необходимые для надлежащего содержания оборудования и систем инженерно-технического обеспечения, 
входящих в состав общего имущества в многоквартирном доме</t>
  </si>
  <si>
    <t>Периодичность, раз в год</t>
  </si>
  <si>
    <t>Смета доходов и расходов.  Расчет  экономически-обоснованного тарифа ТСН "Парус" на выполнение</t>
  </si>
  <si>
    <t>Техническое обслуживание системы водоотведения, канализации</t>
  </si>
  <si>
    <t>Проверка исправности, работоспособности, регулировка и техническое обслуживание элементов системы ХВС, насосов, запрной арматуры, контрольно-измерительных приборов, автоматических регуляторов и устройств, коллективных (общеломовых) приборов учета, расширительных баков и элементов, скрытых от постоянного относящихся к общедомовому имуществу многоквартирного дома</t>
  </si>
  <si>
    <t xml:space="preserve">Контроль состояния и незамедлительное восстановление герметичности участков трубопроводов и соединительных элементов в случае разгерметизации;  </t>
  </si>
  <si>
    <t>4.4</t>
  </si>
  <si>
    <t>незамедлительно</t>
  </si>
  <si>
    <t>7.8</t>
  </si>
  <si>
    <t>7.9</t>
  </si>
  <si>
    <t>7.10</t>
  </si>
  <si>
    <t>7.11</t>
  </si>
  <si>
    <t>Обслуживание ВРУ, включающее в себя аппараты и приборы отходящих линий.</t>
  </si>
  <si>
    <t>Чистка, ремонт, монтаж, демонтаж, перенос, замена, установка, контроль за тепловым состоянием (нагрев): Щитов вводных, силовых, распределительных,групповых, осветительных; коммутационной аппаратуры; осветительной арматуры; пускорегулирующей аппаратуры (дросселей, стартеров); кабельных линий; коробок и панелей распределительных; розеток; выключателей;электроламп.</t>
  </si>
  <si>
    <t>Подключение доп.аппаратов, сетей, оборудования (люстры, светильники)</t>
  </si>
  <si>
    <t>Установка и замена электр.счетчиков</t>
  </si>
  <si>
    <t>Чистка поверхности изоляции электроустановок</t>
  </si>
  <si>
    <t>Поиск и устранение неисправностей в сетях и электропроводках.</t>
  </si>
  <si>
    <t>Проверка состояния визуальным осмотром заземления оболочки электрокабеля, замеры сопротивления изоляции проводов</t>
  </si>
  <si>
    <t>Частичное окрашивание электрического оборудования</t>
  </si>
  <si>
    <t xml:space="preserve">при необходимости </t>
  </si>
  <si>
    <t>Ревизия, тепловой контроль болтовых контактных соединений силовых проводников</t>
  </si>
  <si>
    <t>Обслуживание групповых щитков и общедомового прибора учета</t>
  </si>
  <si>
    <t>7.12</t>
  </si>
  <si>
    <t>Контроль отсутствия перегрева и соответсвия сетей фактическим нагрузкам.</t>
  </si>
  <si>
    <t>7.13</t>
  </si>
  <si>
    <t>Принятие необходимых мер, вплоть до отключения при аварийных ситуациях.</t>
  </si>
  <si>
    <t>8.3</t>
  </si>
  <si>
    <t>8.4</t>
  </si>
  <si>
    <t>8.5</t>
  </si>
  <si>
    <t>Осмотр газопровода и оборудования системы газоснабжения (ВДГО)</t>
  </si>
  <si>
    <t>сеть</t>
  </si>
  <si>
    <t>Влажное подметание лестничных площадок и маршей ниже трех этажей (5 р\нед)</t>
  </si>
  <si>
    <t>Мытье  лестничных площадок и маршей ниже трех этажей (5 р/нед)</t>
  </si>
  <si>
    <t>Влажное подметание лестничных площадок и маршей выше третьего этажа (1 р/нед)</t>
  </si>
  <si>
    <t>Мытье лестничных площадок и маршей выше третьего этажа (2 р/нед)</t>
  </si>
  <si>
    <t>Влажное подметание  пола кабин лифтов (5 р/нед)</t>
  </si>
  <si>
    <t>Мытье пола кабины лифтов, влажная протирка дверей (5 р/нед)</t>
  </si>
  <si>
    <t>Мытье стен, плафонов, потолков кабины лифта и уборка площадки перед входом в подьезд (2р/нед)</t>
  </si>
  <si>
    <t>Уборка пожарной лестницы: влажная протирка стен, дверей, плафонов на лестничных клетках, оконных решеток, шкафов жля электросчетчиков, слаботочных устройств, обметание пыли с потолков (2 р/год)</t>
  </si>
  <si>
    <t>Влажная протирка стен и дверей общего пользования (1 р/мес)</t>
  </si>
  <si>
    <t>Обметание пыли с потолка  (1 р/мес)</t>
  </si>
  <si>
    <t>Мытье окон внутри, в. т.ч. рамы, переплеты, стекла (легкодоступные), входная группа и выходы на подарные лестницы (1 р/3 мес)</t>
  </si>
  <si>
    <t xml:space="preserve"> Мытье окон  снаружи, уборка тех.этажа и подвального помещения (1 р/год)</t>
  </si>
  <si>
    <t>Влажная протирка дверей, перил, почтовых и пожарных ящиков (1 р/мес)</t>
  </si>
  <si>
    <t>Оценка соответствия лифтов в форме периодического освидетедьствования</t>
  </si>
  <si>
    <t>лифты</t>
  </si>
  <si>
    <t>Комиссия за использование системы банк-клиент, обслуживание расч.счета</t>
  </si>
  <si>
    <t>1.1.</t>
  </si>
  <si>
    <t>1.2.</t>
  </si>
  <si>
    <t>1.3.</t>
  </si>
  <si>
    <t>договор</t>
  </si>
  <si>
    <t>ежедневно</t>
  </si>
  <si>
    <t>1.4.</t>
  </si>
  <si>
    <t>2.5</t>
  </si>
  <si>
    <t>200 руб с кв-ры</t>
  </si>
  <si>
    <t>Проверка технического состояния оборудования</t>
  </si>
  <si>
    <t>11.3</t>
  </si>
  <si>
    <t>11.4</t>
  </si>
  <si>
    <t>Проверка работоспособности систем атоматической установки пожаротушения, автоматики системы дымоудаления, автоматической пожарной сигнализации и оповещения людей</t>
  </si>
  <si>
    <t>Проведение регламентных работ</t>
  </si>
  <si>
    <t>Техническое обслуживание и ремонт системы пожаротушения</t>
  </si>
  <si>
    <t>11.5</t>
  </si>
  <si>
    <t>Устранение неисправностей системы, замена деталей</t>
  </si>
  <si>
    <t>11.6</t>
  </si>
  <si>
    <t>1 раз в три года</t>
  </si>
  <si>
    <t>11.7</t>
  </si>
  <si>
    <t>11.8</t>
  </si>
  <si>
    <t>11.9</t>
  </si>
  <si>
    <t>10.4</t>
  </si>
  <si>
    <t>единоразово</t>
  </si>
  <si>
    <t>Замена двери согласно требования пожарной безопасности</t>
  </si>
  <si>
    <t>8.6</t>
  </si>
  <si>
    <t>эл.щитовая</t>
  </si>
  <si>
    <t>10.5</t>
  </si>
  <si>
    <t>11.10</t>
  </si>
  <si>
    <t>Перекатка рукавов пожарных на новое ребро, шт</t>
  </si>
  <si>
    <t>Испытание пожарных кранов на водоотдачу, шт</t>
  </si>
  <si>
    <t>Ведение журналов: учета огнетушителей, рукавов, перкатки рукавов проведение первичного инструктажа на рабочем месте, при приеме на работу.</t>
  </si>
  <si>
    <t>11.11</t>
  </si>
  <si>
    <t>11.12</t>
  </si>
  <si>
    <t>Визуальный осмотр внешнего вида приборов, исследование документации, проверка целостности пломбы (сотрудник, отв.за ПБ)</t>
  </si>
  <si>
    <t>первичный</t>
  </si>
  <si>
    <t>квартальный</t>
  </si>
  <si>
    <t>11.13</t>
  </si>
  <si>
    <t>Замена вышедших из строя огнетушителей,  руковов, муфт и тд.</t>
  </si>
  <si>
    <t>11.14</t>
  </si>
  <si>
    <t>Полное освидетельствование огнетушителей (1р/5 лет)</t>
  </si>
  <si>
    <t>11.15</t>
  </si>
  <si>
    <t>Осмотр системы вентиляции в домах с газом (каналы и шахты) 55 кв.</t>
  </si>
  <si>
    <t>5 бочек Акватек</t>
  </si>
  <si>
    <t>15000  руб.(сантехники) ежемесячно</t>
  </si>
  <si>
    <t>6000 руб. ежемесячно (электрик)</t>
  </si>
  <si>
    <t>3500 руб.ежемесячно</t>
  </si>
  <si>
    <t>1 раз в 5 лет</t>
  </si>
  <si>
    <t>Уборка мест общего пользования и мытье витражей</t>
  </si>
  <si>
    <t>ВДГО</t>
  </si>
  <si>
    <t>2 лифта</t>
  </si>
  <si>
    <t>насосная, 31 огнет.,16 рукавов</t>
  </si>
  <si>
    <t>1000 руб.ежем.</t>
  </si>
  <si>
    <t>Техническое обслуживание и ремонт системы видеонаблюдения</t>
  </si>
  <si>
    <t>Техническое обслуживание и ремонт шлагбаумов - 2 шт.</t>
  </si>
  <si>
    <t>3.11</t>
  </si>
  <si>
    <t>3.12</t>
  </si>
  <si>
    <t>Приобретение материалов для уборки территории: мешки 120 л - 1 уп,  мешки 200 л- 1 уп, перчатки- 5 шт., грабли, спец.одежда и тд.</t>
  </si>
  <si>
    <t>1.15</t>
  </si>
  <si>
    <t>Обслуживание территории: побелка  деревьев, известь, покраска бардюров, краска для перил, химикаты, горшки, цветы, газон, мраморная крошка и т.д.</t>
  </si>
  <si>
    <t>7.14</t>
  </si>
  <si>
    <t>Приобретение элект.оборудования и материалов, в т.ч.: датчики движения, лампочки, автоматические выключатели, светильники, реле контроля фаз, краска и т.д.)</t>
  </si>
  <si>
    <t>7.15</t>
  </si>
  <si>
    <t>Приобретение инструментов, хоз.инвентаря, спец.одежды и тд.</t>
  </si>
  <si>
    <t>1.16</t>
  </si>
  <si>
    <t>4.5</t>
  </si>
  <si>
    <t>Приобретение сантехнического оборудования и материалов, в т.ч.насосы, краны, поплавки, обратные клапаны, фильтра и т.д</t>
  </si>
  <si>
    <t>13.1.</t>
  </si>
  <si>
    <t>14.1.</t>
  </si>
  <si>
    <t>Ремонт конструктивных элементов здания (фундамент, стены, перегородки, двери, доводчики, лестницы, лестничные клетки, общие балконы, приямки, замки, ручки и т.д.)</t>
  </si>
  <si>
    <t>Бухгалтерское сопровождение</t>
  </si>
  <si>
    <t>Ремонт и замена камер видеонаблюдения и др.обор-ния, диагностика</t>
  </si>
  <si>
    <t>2.2.</t>
  </si>
  <si>
    <t>2.3.</t>
  </si>
  <si>
    <t>2.4.</t>
  </si>
  <si>
    <t>Пенсионный фонд России - 22%</t>
  </si>
  <si>
    <t>ФОМС - 5,1%</t>
  </si>
  <si>
    <t>ФСС - 2,9%</t>
  </si>
  <si>
    <t>Травматизм - 0,2%</t>
  </si>
  <si>
    <t>1.5.</t>
  </si>
  <si>
    <t xml:space="preserve">Начисления на ФОТ - 30,2%: </t>
  </si>
  <si>
    <t>Услуги по ведению бухгалтерского учета</t>
  </si>
  <si>
    <t xml:space="preserve"> VI. Прочие</t>
  </si>
  <si>
    <t xml:space="preserve">Холодное водоснабжение </t>
  </si>
  <si>
    <t>Электроэнергия</t>
  </si>
  <si>
    <t>Договор подряда</t>
  </si>
  <si>
    <t>Административные расходы</t>
  </si>
  <si>
    <t>Канцелярские товары, расходные материалы для офисной техники, заправка картриджа, ТО принтера</t>
  </si>
  <si>
    <t>Услуги связи диспетчеров АДС, почтовые расходы</t>
  </si>
  <si>
    <t>5.4.</t>
  </si>
  <si>
    <t>Отчисления в резервный фонд</t>
  </si>
  <si>
    <t>Эквайринг, агентское вознаграждение по платежам 1%</t>
  </si>
  <si>
    <t>Эквайринг, агентское вознаграждение по платежам 3%</t>
  </si>
  <si>
    <t xml:space="preserve"> V. Коммунальные расходы на оплату РСО  для содержания общедомового имущества (СОИ)</t>
  </si>
  <si>
    <t>СУБСИДИИ НА ОБЕСПЕЧЕНИЕ  ПРОВЕДЕНИЯ ТЕКУЩЕГО И КАП. РЕМОНТА, ЭКСПЛУАТАЦИИ ОБЩЕГО ИМУЩЕСТВА</t>
  </si>
  <si>
    <t>Возмещение расходов по содержанию общего имущества ГПК "Приморский 3" за помещения насосной, пожарной площадью 84,4 кв.м.</t>
  </si>
  <si>
    <t>ведро - 1 шт/год, веник 12шт/год, совок 1 шт.в 2 года, швабра 1 шт/год, щетка 1 шт\год, щетка для мытья окон - 1 шт/год</t>
  </si>
  <si>
    <t>Вознаграждение Председателя правления - 1 чел</t>
  </si>
  <si>
    <t>Уборщица - 1 чел</t>
  </si>
  <si>
    <t>на руки</t>
  </si>
  <si>
    <t>Подсобный рабочий - 1 чел</t>
  </si>
  <si>
    <t>Диспетчер аварийной службы - 3 чел</t>
  </si>
  <si>
    <r>
      <t xml:space="preserve">2 сист., </t>
    </r>
    <r>
      <rPr>
        <b/>
        <sz val="12"/>
        <color theme="1"/>
        <rFont val="Times New Roman"/>
        <family val="1"/>
      </rPr>
      <t xml:space="preserve">11 </t>
    </r>
    <r>
      <rPr>
        <b/>
        <sz val="12"/>
        <color indexed="8"/>
        <rFont val="Times New Roman"/>
        <family val="1"/>
      </rPr>
      <t>камер</t>
    </r>
  </si>
  <si>
    <t>Итого в месяц, руб.:</t>
  </si>
  <si>
    <t>Итого в год, руб.:</t>
  </si>
  <si>
    <t>Плата за содержание и ремонт (не) жилого помещения</t>
  </si>
  <si>
    <t>Уборщица в штате</t>
  </si>
  <si>
    <t>Комплексное благоустройство и озеленение придомовой территории</t>
  </si>
  <si>
    <t>1.6.</t>
  </si>
  <si>
    <t>Договора подряда</t>
  </si>
  <si>
    <t>Заработная плата (штатные сторудники)</t>
  </si>
  <si>
    <t>3.1.</t>
  </si>
  <si>
    <t>Непредвиденные расходы, в.т.ч.компенсация расходов на общедомовое потребление электроэнергии, холодного водоснабжения и водоотведения и тд.)</t>
  </si>
  <si>
    <t>площадь МОП, м2</t>
  </si>
  <si>
    <t>Ежегодная премия 50% от оклада, руб.</t>
  </si>
  <si>
    <t>Приобретение офисной техники: телефон АДС, принтер, компьютер</t>
  </si>
  <si>
    <t>Услуги по мытью витражей, лифтовых шахт - 912 кв.м</t>
  </si>
  <si>
    <t>12.1.</t>
  </si>
  <si>
    <t>Ремонт домофона</t>
  </si>
  <si>
    <t>12.2.</t>
  </si>
  <si>
    <t>Техническое обслуживание домофона - 1 шт</t>
  </si>
  <si>
    <t>Обеспечение безопасности -домофон</t>
  </si>
  <si>
    <t>Приобретение инструментов: пылесос, мойка, спец.одежды, хоз.инвентаря, в т.ч.:</t>
  </si>
  <si>
    <t>13000 руб.ежем.</t>
  </si>
  <si>
    <t>Рыхление, прополка сорняков. Уборка мусора, хвои с клумб.</t>
  </si>
  <si>
    <t>Обрезка сухих веток, стрижка кустарников</t>
  </si>
  <si>
    <t>Диагностика состояния насаждений, определение болезней, вредителей</t>
  </si>
  <si>
    <t>Подкормка насаждений минеральными удобрения с заделкой в почву</t>
  </si>
  <si>
    <t>Хим.обработка насаждений от болезней, вредителей</t>
  </si>
  <si>
    <t>Полив: ручной, автоматический, ремтнт и настройка сплинкеров</t>
  </si>
  <si>
    <t>Уборка территории, прилегающей к дому</t>
  </si>
  <si>
    <t>15000 руб.ежемесячно</t>
  </si>
  <si>
    <t>6000 руб. ежемесячно</t>
  </si>
  <si>
    <t>Приобретение материалов для уборки: тряпки, моющие средства д/полов, стекол, чистящие для санузла, перчатки и т.д.</t>
  </si>
  <si>
    <t>10000 руб. ежемесячно</t>
  </si>
  <si>
    <t>ежегодная 50% от оклада</t>
  </si>
  <si>
    <t xml:space="preserve">Договор </t>
  </si>
  <si>
    <t>9.2</t>
  </si>
  <si>
    <t>Окраска газопровода 2-мя слоями краски ПФ-115 поГОСТ 6465-76 желтого цвета  по 2-м слоям грунтовки ГФ-021 ГОСТ 25129-82.</t>
  </si>
  <si>
    <t>Страхование ответственности ТСЖ</t>
  </si>
  <si>
    <t>3.2.</t>
  </si>
  <si>
    <t>Вознаграждение членов правления, ревизионной комиссии, председателя - 8 чел</t>
  </si>
  <si>
    <t>Перезарядка (зарядка и головка)</t>
  </si>
  <si>
    <t>1.7.</t>
  </si>
  <si>
    <t>Изготовление вывески ТСН "Парус"</t>
  </si>
  <si>
    <t>Проверка целостности систем автоматической установки пожаротушения, автоматики системы дымоудаления, автоматической пожарной сигнализации и оповещения людей о пожаре</t>
  </si>
  <si>
    <t>Освидетельствование (взвешивание УО) огнетушителей (спец. орг-ция) 1р/год</t>
  </si>
  <si>
    <t xml:space="preserve">Оплата за оплата за формирование платежных документов на оплату ЕРЦ - 4% </t>
  </si>
  <si>
    <t>СОИ норматив (по факту 2020-2021) + 4% увел.на 2022 год</t>
  </si>
  <si>
    <t>Отпускные и премии в рамках Положения по оплате труда</t>
  </si>
  <si>
    <t>Отпускные</t>
  </si>
  <si>
    <t>Представительские расходы, ГСМ в ГЖИ, и тд.</t>
  </si>
  <si>
    <t>Начисления на вознаграждения</t>
  </si>
  <si>
    <t>Начисления на отпускные, 30,2%</t>
  </si>
  <si>
    <t>Диагностика и ремонт шлагбаума</t>
  </si>
  <si>
    <t>Стоимость на кв.м.в мес./год, руб.</t>
  </si>
  <si>
    <t>Стоимость руб.,в мес/год</t>
  </si>
  <si>
    <t>7 эт. 1503/1976 закал.6. смех.рукой</t>
  </si>
  <si>
    <t>Получение удостоверения о прохождении минимума рук-лю экспл.орг-ии</t>
  </si>
  <si>
    <t>до сент.2023</t>
  </si>
  <si>
    <t>Обучение мерам пожарной безопасности (удостоверение)</t>
  </si>
  <si>
    <t>лифтовая</t>
  </si>
  <si>
    <t>Площадь, занимаемая согласно тех.паспорта тех.узлом пожаротушения,насосной и включающаяся в МОП</t>
  </si>
  <si>
    <t>Площадь мест общего пользования (согласно Протокола №4 от "__"________ 2021 г. ,м2</t>
  </si>
  <si>
    <t>Общая площадь не жилых помещений лит.А.-подвал (ГПК "Приморский 3") расчетная</t>
  </si>
  <si>
    <t>Приложение №4 к Протоколу №4 от "25"ноября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</si>
</sst>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</cellStyleXfs>
  <cellXfs count="241">
    <xf numFmtId="0" fontId="0" fillId="0" borderId="0" xfId="0"/>
    <xf numFmtId="49" fontId="9" fillId="0" borderId="8" xfId="2" applyNumberFormat="1" applyFont="1" applyFill="1" applyBorder="1" applyAlignment="1" applyProtection="1">
      <alignment horizontal="center" vertical="center" wrapText="1"/>
      <protection hidden="1"/>
    </xf>
    <xf numFmtId="2" fontId="9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/>
    <xf numFmtId="49" fontId="11" fillId="0" borderId="1" xfId="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/>
    <xf numFmtId="49" fontId="13" fillId="0" borderId="1" xfId="3" applyNumberFormat="1" applyFont="1" applyFill="1" applyBorder="1" applyAlignment="1">
      <alignment horizontal="center" vertical="center"/>
    </xf>
    <xf numFmtId="2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13" fillId="0" borderId="1" xfId="3" applyNumberFormat="1" applyFont="1" applyFill="1" applyBorder="1" applyAlignment="1">
      <alignment vertical="center" wrapText="1"/>
    </xf>
    <xf numFmtId="2" fontId="12" fillId="0" borderId="0" xfId="3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2" fontId="12" fillId="0" borderId="0" xfId="3" applyNumberFormat="1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wrapText="1"/>
    </xf>
    <xf numFmtId="0" fontId="14" fillId="0" borderId="10" xfId="3" applyFont="1" applyFill="1" applyBorder="1" applyAlignment="1">
      <alignment horizontal="center" vertical="center" wrapText="1"/>
    </xf>
    <xf numFmtId="2" fontId="11" fillId="0" borderId="4" xfId="2" applyNumberFormat="1" applyFont="1" applyFill="1" applyBorder="1" applyAlignment="1" applyProtection="1">
      <alignment horizontal="left" vertical="center" wrapText="1"/>
      <protection hidden="1"/>
    </xf>
    <xf numFmtId="4" fontId="12" fillId="0" borderId="4" xfId="3" applyNumberFormat="1" applyFont="1" applyFill="1" applyBorder="1" applyAlignment="1">
      <alignment horizontal="center" wrapText="1"/>
    </xf>
    <xf numFmtId="0" fontId="12" fillId="0" borderId="4" xfId="3" applyFont="1" applyFill="1" applyBorder="1" applyAlignment="1">
      <alignment horizontal="center" wrapText="1"/>
    </xf>
    <xf numFmtId="4" fontId="15" fillId="0" borderId="1" xfId="3" applyNumberFormat="1" applyFont="1" applyFill="1" applyBorder="1" applyAlignment="1">
      <alignment horizontal="center" wrapText="1"/>
    </xf>
    <xf numFmtId="2" fontId="16" fillId="0" borderId="1" xfId="2" applyNumberFormat="1" applyFont="1" applyFill="1" applyBorder="1" applyAlignment="1" applyProtection="1">
      <alignment horizontal="left" vertical="center" wrapText="1"/>
      <protection hidden="1"/>
    </xf>
    <xf numFmtId="4" fontId="12" fillId="0" borderId="1" xfId="3" applyNumberFormat="1" applyFont="1" applyFill="1" applyBorder="1" applyAlignment="1">
      <alignment horizontal="center" wrapText="1"/>
    </xf>
    <xf numFmtId="0" fontId="1" fillId="0" borderId="0" xfId="0" applyFont="1"/>
    <xf numFmtId="2" fontId="11" fillId="0" borderId="1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 applyProtection="1">
      <alignment horizontal="left" vertical="center" wrapText="1"/>
      <protection hidden="1"/>
    </xf>
    <xf numFmtId="0" fontId="5" fillId="3" borderId="4" xfId="3" applyFont="1" applyFill="1" applyBorder="1" applyAlignment="1">
      <alignment horizontal="center" vertical="center" wrapText="1"/>
    </xf>
    <xf numFmtId="4" fontId="15" fillId="0" borderId="4" xfId="3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 applyProtection="1">
      <alignment horizontal="left" vertical="center" wrapText="1"/>
      <protection hidden="1"/>
    </xf>
    <xf numFmtId="49" fontId="5" fillId="0" borderId="4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/>
    <xf numFmtId="1" fontId="15" fillId="0" borderId="1" xfId="3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wrapText="1"/>
    </xf>
    <xf numFmtId="0" fontId="5" fillId="0" borderId="4" xfId="3" applyFont="1" applyFill="1" applyBorder="1" applyAlignment="1">
      <alignment wrapText="1"/>
    </xf>
    <xf numFmtId="1" fontId="5" fillId="0" borderId="4" xfId="3" applyNumberFormat="1" applyFont="1" applyFill="1" applyBorder="1" applyAlignment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left" vertical="center" wrapText="1"/>
      <protection hidden="1"/>
    </xf>
    <xf numFmtId="1" fontId="15" fillId="0" borderId="0" xfId="3" applyNumberFormat="1" applyFont="1" applyFill="1" applyBorder="1" applyAlignment="1">
      <alignment horizontal="center" wrapText="1"/>
    </xf>
    <xf numFmtId="0" fontId="13" fillId="0" borderId="0" xfId="0" applyFont="1" applyFill="1" applyBorder="1"/>
    <xf numFmtId="49" fontId="13" fillId="0" borderId="0" xfId="3" applyNumberFormat="1" applyFont="1" applyFill="1" applyAlignment="1">
      <alignment horizontal="center" vertical="center"/>
    </xf>
    <xf numFmtId="2" fontId="13" fillId="0" borderId="0" xfId="3" applyNumberFormat="1" applyFont="1" applyFill="1" applyAlignment="1">
      <alignment vertical="center" wrapText="1"/>
    </xf>
    <xf numFmtId="2" fontId="13" fillId="0" borderId="0" xfId="3" applyNumberFormat="1" applyFont="1" applyFill="1" applyAlignment="1">
      <alignment horizontal="center" wrapText="1"/>
    </xf>
    <xf numFmtId="0" fontId="13" fillId="0" borderId="0" xfId="0" applyFont="1" applyFill="1"/>
    <xf numFmtId="2" fontId="13" fillId="0" borderId="0" xfId="3" applyNumberFormat="1" applyFont="1" applyFill="1" applyAlignment="1">
      <alignment wrapText="1"/>
    </xf>
    <xf numFmtId="2" fontId="11" fillId="3" borderId="1" xfId="4" applyNumberFormat="1" applyFont="1" applyFill="1" applyBorder="1" applyAlignment="1" applyProtection="1">
      <alignment horizontal="center" vertical="center" wrapText="1"/>
      <protection hidden="1"/>
    </xf>
    <xf numFmtId="2" fontId="11" fillId="0" borderId="7" xfId="4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49" fontId="9" fillId="0" borderId="13" xfId="2" applyNumberFormat="1" applyFont="1" applyFill="1" applyBorder="1" applyAlignment="1" applyProtection="1">
      <alignment horizontal="center" vertical="center" wrapText="1"/>
      <protection hidden="1"/>
    </xf>
    <xf numFmtId="2" fontId="9" fillId="0" borderId="14" xfId="2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8" fillId="0" borderId="1" xfId="3" applyNumberFormat="1" applyFont="1" applyFill="1" applyBorder="1" applyAlignment="1">
      <alignment horizontal="center" wrapText="1"/>
    </xf>
    <xf numFmtId="49" fontId="9" fillId="0" borderId="20" xfId="2" applyNumberFormat="1" applyFont="1" applyFill="1" applyBorder="1" applyAlignment="1" applyProtection="1">
      <alignment horizontal="center" vertical="center" wrapText="1"/>
      <protection hidden="1"/>
    </xf>
    <xf numFmtId="49" fontId="9" fillId="0" borderId="23" xfId="2" applyNumberFormat="1" applyFont="1" applyFill="1" applyBorder="1" applyAlignment="1" applyProtection="1">
      <alignment horizontal="center" vertical="center" wrapText="1"/>
      <protection hidden="1"/>
    </xf>
    <xf numFmtId="2" fontId="11" fillId="0" borderId="23" xfId="2" applyNumberFormat="1" applyFont="1" applyFill="1" applyBorder="1" applyAlignment="1" applyProtection="1">
      <alignment horizontal="left" vertical="center" wrapText="1"/>
      <protection hidden="1"/>
    </xf>
    <xf numFmtId="2" fontId="11" fillId="0" borderId="26" xfId="2" applyNumberFormat="1" applyFont="1" applyFill="1" applyBorder="1" applyAlignment="1" applyProtection="1">
      <alignment horizontal="left" vertical="center" wrapText="1"/>
      <protection hidden="1"/>
    </xf>
    <xf numFmtId="49" fontId="9" fillId="0" borderId="29" xfId="2" applyNumberFormat="1" applyFont="1" applyFill="1" applyBorder="1" applyAlignment="1" applyProtection="1">
      <alignment horizontal="center" vertical="center" wrapText="1"/>
      <protection hidden="1"/>
    </xf>
    <xf numFmtId="2" fontId="11" fillId="0" borderId="1" xfId="2" applyNumberFormat="1" applyFont="1" applyFill="1" applyBorder="1" applyAlignment="1" applyProtection="1">
      <alignment vertical="center" wrapText="1"/>
      <protection hidden="1"/>
    </xf>
    <xf numFmtId="2" fontId="19" fillId="0" borderId="1" xfId="2" applyNumberFormat="1" applyFont="1" applyFill="1" applyBorder="1" applyAlignment="1" applyProtection="1">
      <alignment vertical="center" wrapText="1"/>
      <protection hidden="1"/>
    </xf>
    <xf numFmtId="0" fontId="22" fillId="0" borderId="0" xfId="0" applyFont="1"/>
    <xf numFmtId="4" fontId="11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9" fillId="3" borderId="1" xfId="3" applyNumberFormat="1" applyFont="1" applyFill="1" applyBorder="1" applyAlignment="1">
      <alignment horizontal="center" vertical="center" wrapText="1"/>
    </xf>
    <xf numFmtId="2" fontId="9" fillId="3" borderId="1" xfId="4" applyNumberFormat="1" applyFont="1" applyFill="1" applyBorder="1" applyAlignment="1" applyProtection="1">
      <alignment horizontal="left" vertical="center" wrapText="1"/>
      <protection hidden="1"/>
    </xf>
    <xf numFmtId="1" fontId="11" fillId="3" borderId="1" xfId="4" applyNumberFormat="1" applyFont="1" applyFill="1" applyBorder="1" applyAlignment="1" applyProtection="1">
      <alignment horizontal="center" vertical="center" wrapText="1"/>
      <protection hidden="1"/>
    </xf>
    <xf numFmtId="49" fontId="12" fillId="3" borderId="1" xfId="3" applyNumberFormat="1" applyFont="1" applyFill="1" applyBorder="1" applyAlignment="1">
      <alignment horizontal="center" vertical="center"/>
    </xf>
    <xf numFmtId="2" fontId="9" fillId="3" borderId="1" xfId="4" applyNumberFormat="1" applyFont="1" applyFill="1" applyBorder="1" applyAlignment="1" applyProtection="1">
      <alignment horizontal="center" vertical="center" wrapText="1"/>
      <protection hidden="1"/>
    </xf>
    <xf numFmtId="49" fontId="9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horizontal="center" wrapText="1"/>
    </xf>
    <xf numFmtId="1" fontId="21" fillId="0" borderId="7" xfId="4" applyNumberFormat="1" applyFont="1" applyFill="1" applyBorder="1" applyAlignment="1" applyProtection="1">
      <alignment horizontal="center" vertical="center" wrapText="1"/>
      <protection hidden="1"/>
    </xf>
    <xf numFmtId="2" fontId="12" fillId="3" borderId="1" xfId="3" applyNumberFormat="1" applyFont="1" applyFill="1" applyBorder="1" applyAlignment="1">
      <alignment vertical="center" wrapText="1"/>
    </xf>
    <xf numFmtId="2" fontId="12" fillId="3" borderId="1" xfId="3" applyNumberFormat="1" applyFont="1" applyFill="1" applyBorder="1" applyAlignment="1">
      <alignment horizontal="center" wrapText="1"/>
    </xf>
    <xf numFmtId="1" fontId="17" fillId="0" borderId="0" xfId="0" applyNumberFormat="1" applyFont="1" applyAlignment="1">
      <alignment horizontal="center"/>
    </xf>
    <xf numFmtId="1" fontId="9" fillId="0" borderId="9" xfId="4" applyNumberFormat="1" applyFont="1" applyFill="1" applyBorder="1" applyAlignment="1" applyProtection="1">
      <alignment horizontal="center" vertical="center" wrapText="1"/>
      <protection hidden="1"/>
    </xf>
    <xf numFmtId="1" fontId="11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9" fillId="0" borderId="14" xfId="4" applyNumberFormat="1" applyFont="1" applyFill="1" applyBorder="1" applyAlignment="1" applyProtection="1">
      <alignment horizontal="center" vertical="center" wrapText="1"/>
      <protection hidden="1"/>
    </xf>
    <xf numFmtId="1" fontId="10" fillId="0" borderId="0" xfId="0" applyNumberFormat="1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21" fillId="0" borderId="1" xfId="4" applyNumberFormat="1" applyFont="1" applyFill="1" applyBorder="1" applyAlignment="1" applyProtection="1">
      <alignment horizontal="left" vertical="center" wrapText="1"/>
      <protection hidden="1"/>
    </xf>
    <xf numFmtId="2" fontId="11" fillId="0" borderId="1" xfId="4" applyNumberFormat="1" applyFont="1" applyFill="1" applyBorder="1" applyAlignment="1" applyProtection="1">
      <alignment horizontal="right" vertical="center" wrapText="1"/>
      <protection hidden="1"/>
    </xf>
    <xf numFmtId="2" fontId="21" fillId="0" borderId="1" xfId="4" applyNumberFormat="1" applyFont="1" applyFill="1" applyBorder="1" applyAlignment="1" applyProtection="1">
      <alignment horizontal="right" vertical="center" wrapText="1"/>
      <protection hidden="1"/>
    </xf>
    <xf numFmtId="4" fontId="11" fillId="0" borderId="1" xfId="4" applyNumberFormat="1" applyFont="1" applyFill="1" applyBorder="1" applyAlignment="1" applyProtection="1">
      <alignment horizontal="right" vertical="center" wrapText="1"/>
      <protection hidden="1"/>
    </xf>
    <xf numFmtId="4" fontId="21" fillId="0" borderId="1" xfId="4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/>
    <xf numFmtId="49" fontId="21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vertical="center" wrapText="1"/>
    </xf>
    <xf numFmtId="1" fontId="21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3" fontId="12" fillId="3" borderId="1" xfId="0" applyNumberFormat="1" applyFont="1" applyFill="1" applyBorder="1" applyAlignment="1">
      <alignment horizont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2" fontId="21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9" fillId="0" borderId="7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/>
    <xf numFmtId="0" fontId="29" fillId="0" borderId="0" xfId="0" applyFont="1"/>
    <xf numFmtId="49" fontId="9" fillId="4" borderId="20" xfId="2" applyNumberFormat="1" applyFont="1" applyFill="1" applyBorder="1" applyAlignment="1" applyProtection="1">
      <alignment horizontal="center" vertical="center" wrapText="1"/>
      <protection hidden="1"/>
    </xf>
    <xf numFmtId="4" fontId="20" fillId="7" borderId="20" xfId="2" applyNumberFormat="1" applyFont="1" applyFill="1" applyBorder="1" applyAlignment="1" applyProtection="1">
      <alignment horizontal="center" vertical="center" wrapText="1"/>
      <protection hidden="1"/>
    </xf>
    <xf numFmtId="4" fontId="20" fillId="7" borderId="21" xfId="2" applyNumberFormat="1" applyFont="1" applyFill="1" applyBorder="1" applyAlignment="1" applyProtection="1">
      <alignment vertical="center" wrapText="1"/>
      <protection hidden="1"/>
    </xf>
    <xf numFmtId="1" fontId="20" fillId="7" borderId="21" xfId="2" applyNumberFormat="1" applyFont="1" applyFill="1" applyBorder="1" applyAlignment="1" applyProtection="1">
      <alignment horizontal="center" vertical="center" wrapText="1"/>
      <protection hidden="1"/>
    </xf>
    <xf numFmtId="49" fontId="9" fillId="7" borderId="26" xfId="2" applyNumberFormat="1" applyFont="1" applyFill="1" applyBorder="1" applyAlignment="1" applyProtection="1">
      <alignment horizontal="center" vertical="center" wrapText="1"/>
      <protection hidden="1"/>
    </xf>
    <xf numFmtId="4" fontId="20" fillId="7" borderId="27" xfId="2" applyNumberFormat="1" applyFont="1" applyFill="1" applyBorder="1" applyAlignment="1" applyProtection="1">
      <alignment vertical="center" wrapText="1"/>
      <protection hidden="1"/>
    </xf>
    <xf numFmtId="1" fontId="10" fillId="7" borderId="27" xfId="0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19" fillId="0" borderId="0" xfId="2" applyNumberFormat="1" applyFont="1" applyFill="1" applyBorder="1" applyAlignment="1" applyProtection="1">
      <alignment vertical="center" wrapText="1"/>
      <protection hidden="1"/>
    </xf>
    <xf numFmtId="1" fontId="11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23" fillId="7" borderId="1" xfId="4" applyNumberFormat="1" applyFont="1" applyFill="1" applyBorder="1" applyAlignment="1" applyProtection="1">
      <alignment vertical="center" wrapText="1"/>
      <protection hidden="1"/>
    </xf>
    <xf numFmtId="4" fontId="20" fillId="7" borderId="1" xfId="2" applyNumberFormat="1" applyFont="1" applyFill="1" applyBorder="1" applyAlignment="1" applyProtection="1">
      <alignment vertical="center" wrapText="1"/>
      <protection hidden="1"/>
    </xf>
    <xf numFmtId="1" fontId="27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18" fillId="3" borderId="1" xfId="0" applyNumberFormat="1" applyFont="1" applyFill="1" applyBorder="1" applyAlignment="1">
      <alignment horizontal="center" wrapText="1"/>
    </xf>
    <xf numFmtId="2" fontId="31" fillId="0" borderId="1" xfId="4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/>
    <xf numFmtId="49" fontId="11" fillId="0" borderId="7" xfId="3" applyNumberFormat="1" applyFont="1" applyFill="1" applyBorder="1" applyAlignment="1">
      <alignment horizontal="center" vertical="center" wrapText="1"/>
    </xf>
    <xf numFmtId="2" fontId="13" fillId="0" borderId="7" xfId="3" applyNumberFormat="1" applyFont="1" applyFill="1" applyBorder="1" applyAlignment="1">
      <alignment vertical="center" wrapText="1"/>
    </xf>
    <xf numFmtId="2" fontId="31" fillId="0" borderId="7" xfId="4" applyNumberFormat="1" applyFont="1" applyFill="1" applyBorder="1" applyAlignment="1" applyProtection="1">
      <alignment horizontal="center" vertical="center" wrapText="1"/>
      <protection hidden="1"/>
    </xf>
    <xf numFmtId="0" fontId="10" fillId="7" borderId="23" xfId="0" applyFont="1" applyFill="1" applyBorder="1"/>
    <xf numFmtId="0" fontId="10" fillId="7" borderId="26" xfId="0" applyFont="1" applyFill="1" applyBorder="1"/>
    <xf numFmtId="10" fontId="25" fillId="0" borderId="0" xfId="0" applyNumberFormat="1" applyFont="1"/>
    <xf numFmtId="0" fontId="10" fillId="0" borderId="0" xfId="0" applyFont="1" applyAlignment="1">
      <alignment horizontal="right"/>
    </xf>
    <xf numFmtId="4" fontId="12" fillId="0" borderId="22" xfId="3" applyNumberFormat="1" applyFont="1" applyFill="1" applyBorder="1" applyAlignment="1">
      <alignment horizontal="right" wrapText="1"/>
    </xf>
    <xf numFmtId="4" fontId="15" fillId="0" borderId="24" xfId="3" applyNumberFormat="1" applyFont="1" applyFill="1" applyBorder="1" applyAlignment="1">
      <alignment horizontal="right" wrapText="1"/>
    </xf>
    <xf numFmtId="4" fontId="12" fillId="0" borderId="24" xfId="3" applyNumberFormat="1" applyFont="1" applyFill="1" applyBorder="1" applyAlignment="1">
      <alignment horizontal="right" wrapText="1"/>
    </xf>
    <xf numFmtId="4" fontId="18" fillId="0" borderId="24" xfId="3" applyNumberFormat="1" applyFont="1" applyFill="1" applyBorder="1" applyAlignment="1">
      <alignment horizontal="right" wrapText="1"/>
    </xf>
    <xf numFmtId="4" fontId="15" fillId="0" borderId="25" xfId="3" applyNumberFormat="1" applyFont="1" applyFill="1" applyBorder="1" applyAlignment="1">
      <alignment horizontal="right" wrapText="1"/>
    </xf>
    <xf numFmtId="4" fontId="15" fillId="0" borderId="28" xfId="3" applyNumberFormat="1" applyFont="1" applyFill="1" applyBorder="1" applyAlignment="1">
      <alignment horizontal="right" wrapText="1"/>
    </xf>
    <xf numFmtId="2" fontId="9" fillId="0" borderId="10" xfId="4" applyNumberFormat="1" applyFont="1" applyFill="1" applyBorder="1" applyAlignment="1" applyProtection="1">
      <alignment horizontal="right" vertical="center" wrapText="1"/>
      <protection hidden="1"/>
    </xf>
    <xf numFmtId="2" fontId="11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20" fillId="7" borderId="22" xfId="2" applyNumberFormat="1" applyFont="1" applyFill="1" applyBorder="1" applyAlignment="1" applyProtection="1">
      <alignment horizontal="right" vertical="center" wrapText="1"/>
      <protection hidden="1"/>
    </xf>
    <xf numFmtId="2" fontId="9" fillId="7" borderId="30" xfId="2" applyNumberFormat="1" applyFont="1" applyFill="1" applyBorder="1" applyAlignment="1" applyProtection="1">
      <alignment horizontal="right" vertical="center" wrapText="1"/>
      <protection hidden="1"/>
    </xf>
    <xf numFmtId="2" fontId="11" fillId="0" borderId="0" xfId="2" applyNumberFormat="1" applyFont="1" applyFill="1" applyBorder="1" applyAlignment="1" applyProtection="1">
      <alignment horizontal="right" vertical="center" wrapText="1"/>
      <protection hidden="1"/>
    </xf>
    <xf numFmtId="2" fontId="9" fillId="0" borderId="15" xfId="4" applyNumberFormat="1" applyFont="1" applyFill="1" applyBorder="1" applyAlignment="1" applyProtection="1">
      <alignment horizontal="right" vertical="center" wrapText="1"/>
      <protection hidden="1"/>
    </xf>
    <xf numFmtId="49" fontId="9" fillId="0" borderId="7" xfId="2" applyNumberFormat="1" applyFont="1" applyFill="1" applyBorder="1" applyAlignment="1" applyProtection="1">
      <alignment horizontal="right" vertical="center" wrapText="1"/>
      <protection hidden="1"/>
    </xf>
    <xf numFmtId="4" fontId="20" fillId="7" borderId="24" xfId="2" applyNumberFormat="1" applyFont="1" applyFill="1" applyBorder="1" applyAlignment="1" applyProtection="1">
      <alignment horizontal="right" vertical="center" wrapText="1"/>
      <protection hidden="1"/>
    </xf>
    <xf numFmtId="4" fontId="9" fillId="5" borderId="4" xfId="4" applyNumberFormat="1" applyFont="1" applyFill="1" applyBorder="1" applyAlignment="1" applyProtection="1">
      <alignment horizontal="right" vertical="center" wrapText="1"/>
      <protection hidden="1"/>
    </xf>
    <xf numFmtId="4" fontId="9" fillId="3" borderId="1" xfId="4" applyNumberFormat="1" applyFont="1" applyFill="1" applyBorder="1" applyAlignment="1" applyProtection="1">
      <alignment horizontal="right" vertical="center" wrapText="1"/>
      <protection hidden="1"/>
    </xf>
    <xf numFmtId="4" fontId="13" fillId="0" borderId="1" xfId="0" applyNumberFormat="1" applyFont="1" applyFill="1" applyBorder="1" applyAlignment="1">
      <alignment horizontal="right"/>
    </xf>
    <xf numFmtId="4" fontId="9" fillId="5" borderId="1" xfId="4" applyNumberFormat="1" applyFont="1" applyFill="1" applyBorder="1" applyAlignment="1" applyProtection="1">
      <alignment horizontal="right" vertical="center" wrapText="1"/>
      <protection hidden="1"/>
    </xf>
    <xf numFmtId="49" fontId="9" fillId="0" borderId="1" xfId="2" applyNumberFormat="1" applyFont="1" applyFill="1" applyBorder="1" applyAlignment="1" applyProtection="1">
      <alignment horizontal="right" vertical="center" wrapText="1"/>
      <protection hidden="1"/>
    </xf>
    <xf numFmtId="2" fontId="9" fillId="3" borderId="1" xfId="4" applyNumberFormat="1" applyFont="1" applyFill="1" applyBorder="1" applyAlignment="1" applyProtection="1">
      <alignment horizontal="right" vertical="center" wrapText="1"/>
      <protection hidden="1"/>
    </xf>
    <xf numFmtId="4" fontId="32" fillId="5" borderId="1" xfId="4" applyNumberFormat="1" applyFont="1" applyFill="1" applyBorder="1" applyAlignment="1" applyProtection="1">
      <alignment horizontal="right" vertical="center" wrapText="1"/>
      <protection hidden="1"/>
    </xf>
    <xf numFmtId="2" fontId="9" fillId="5" borderId="1" xfId="4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right"/>
    </xf>
    <xf numFmtId="4" fontId="11" fillId="0" borderId="1" xfId="2" applyNumberFormat="1" applyFont="1" applyFill="1" applyBorder="1" applyAlignment="1" applyProtection="1">
      <alignment horizontal="right" vertical="center" wrapText="1"/>
      <protection hidden="1"/>
    </xf>
    <xf numFmtId="2" fontId="16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20" fillId="7" borderId="21" xfId="2" applyNumberFormat="1" applyFont="1" applyFill="1" applyBorder="1" applyAlignment="1" applyProtection="1">
      <alignment horizontal="right" vertical="center" wrapText="1"/>
      <protection hidden="1"/>
    </xf>
    <xf numFmtId="4" fontId="20" fillId="7" borderId="27" xfId="2" applyNumberFormat="1" applyFont="1" applyFill="1" applyBorder="1" applyAlignment="1" applyProtection="1">
      <alignment horizontal="right" vertical="center" wrapText="1"/>
      <protection hidden="1"/>
    </xf>
    <xf numFmtId="4" fontId="20" fillId="7" borderId="1" xfId="2" applyNumberFormat="1" applyFont="1" applyFill="1" applyBorder="1" applyAlignment="1" applyProtection="1">
      <alignment horizontal="right" vertical="center" wrapText="1"/>
      <protection hidden="1"/>
    </xf>
    <xf numFmtId="0" fontId="13" fillId="0" borderId="1" xfId="0" applyFont="1" applyFill="1" applyBorder="1" applyAlignment="1">
      <alignment horizontal="right"/>
    </xf>
    <xf numFmtId="2" fontId="19" fillId="0" borderId="1" xfId="4" applyNumberFormat="1" applyFont="1" applyFill="1" applyBorder="1" applyAlignment="1" applyProtection="1">
      <alignment horizontal="right" vertical="center" wrapText="1"/>
      <protection hidden="1"/>
    </xf>
    <xf numFmtId="2" fontId="9" fillId="0" borderId="1" xfId="4" applyNumberFormat="1" applyFont="1" applyFill="1" applyBorder="1" applyAlignment="1" applyProtection="1">
      <alignment horizontal="right" vertical="center" wrapText="1"/>
      <protection hidden="1"/>
    </xf>
    <xf numFmtId="49" fontId="24" fillId="0" borderId="1" xfId="2" applyNumberFormat="1" applyFont="1" applyFill="1" applyBorder="1" applyAlignment="1" applyProtection="1">
      <alignment horizontal="right" vertical="center" wrapText="1"/>
      <protection hidden="1"/>
    </xf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164" fontId="11" fillId="0" borderId="1" xfId="4" applyNumberFormat="1" applyFont="1" applyFill="1" applyBorder="1" applyAlignment="1" applyProtection="1">
      <alignment horizontal="right" vertical="center" wrapText="1"/>
      <protection hidden="1"/>
    </xf>
    <xf numFmtId="2" fontId="9" fillId="0" borderId="9" xfId="4" applyNumberFormat="1" applyFont="1" applyFill="1" applyBorder="1" applyAlignment="1" applyProtection="1">
      <alignment horizontal="right" vertical="center" wrapText="1"/>
      <protection hidden="1"/>
    </xf>
    <xf numFmtId="2" fontId="11" fillId="7" borderId="27" xfId="2" applyNumberFormat="1" applyFont="1" applyFill="1" applyBorder="1" applyAlignment="1" applyProtection="1">
      <alignment horizontal="right" vertical="center" wrapText="1"/>
      <protection hidden="1"/>
    </xf>
    <xf numFmtId="2" fontId="9" fillId="0" borderId="14" xfId="4" applyNumberFormat="1" applyFont="1" applyFill="1" applyBorder="1" applyAlignment="1" applyProtection="1">
      <alignment horizontal="right" vertical="center" wrapText="1"/>
      <protection hidden="1"/>
    </xf>
    <xf numFmtId="2" fontId="23" fillId="7" borderId="1" xfId="4" applyNumberFormat="1" applyFont="1" applyFill="1" applyBorder="1" applyAlignment="1" applyProtection="1">
      <alignment horizontal="right" vertical="center" wrapText="1"/>
      <protection hidden="1"/>
    </xf>
    <xf numFmtId="2" fontId="12" fillId="3" borderId="1" xfId="0" applyNumberFormat="1" applyFont="1" applyFill="1" applyBorder="1" applyAlignment="1">
      <alignment horizontal="right" wrapText="1"/>
    </xf>
    <xf numFmtId="2" fontId="13" fillId="0" borderId="1" xfId="0" applyNumberFormat="1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horizontal="right" wrapText="1"/>
    </xf>
    <xf numFmtId="2" fontId="15" fillId="0" borderId="1" xfId="0" applyNumberFormat="1" applyFont="1" applyFill="1" applyBorder="1" applyAlignment="1">
      <alignment horizontal="right" wrapText="1"/>
    </xf>
    <xf numFmtId="2" fontId="18" fillId="3" borderId="1" xfId="0" applyNumberFormat="1" applyFont="1" applyFill="1" applyBorder="1" applyAlignment="1">
      <alignment horizontal="right" wrapText="1"/>
    </xf>
    <xf numFmtId="2" fontId="21" fillId="0" borderId="1" xfId="0" applyNumberFormat="1" applyFont="1" applyFill="1" applyBorder="1" applyAlignment="1">
      <alignment horizontal="right" wrapText="1"/>
    </xf>
    <xf numFmtId="1" fontId="11" fillId="0" borderId="1" xfId="4" applyNumberFormat="1" applyFont="1" applyFill="1" applyBorder="1" applyAlignment="1" applyProtection="1">
      <alignment horizontal="right" vertical="center" wrapText="1"/>
      <protection hidden="1"/>
    </xf>
    <xf numFmtId="1" fontId="21" fillId="0" borderId="1" xfId="4" applyNumberFormat="1" applyFont="1" applyFill="1" applyBorder="1" applyAlignment="1" applyProtection="1">
      <alignment horizontal="right" vertical="center" wrapText="1"/>
      <protection hidden="1"/>
    </xf>
    <xf numFmtId="2" fontId="15" fillId="0" borderId="7" xfId="0" applyNumberFormat="1" applyFont="1" applyFill="1" applyBorder="1" applyAlignment="1">
      <alignment horizontal="right" wrapText="1"/>
    </xf>
    <xf numFmtId="4" fontId="21" fillId="0" borderId="1" xfId="0" applyNumberFormat="1" applyFont="1" applyFill="1" applyBorder="1" applyAlignment="1">
      <alignment horizontal="right"/>
    </xf>
    <xf numFmtId="4" fontId="26" fillId="0" borderId="1" xfId="4" applyNumberFormat="1" applyFont="1" applyFill="1" applyBorder="1" applyAlignment="1" applyProtection="1">
      <alignment horizontal="right" vertical="center" wrapText="1"/>
      <protection hidden="1"/>
    </xf>
    <xf numFmtId="49" fontId="26" fillId="0" borderId="1" xfId="3" applyNumberFormat="1" applyFont="1" applyFill="1" applyBorder="1" applyAlignment="1">
      <alignment horizontal="center" vertical="center" wrapText="1"/>
    </xf>
    <xf numFmtId="2" fontId="26" fillId="0" borderId="1" xfId="4" applyNumberFormat="1" applyFont="1" applyFill="1" applyBorder="1" applyAlignment="1" applyProtection="1">
      <alignment horizontal="left" vertical="center" wrapText="1"/>
      <protection hidden="1"/>
    </xf>
    <xf numFmtId="2" fontId="26" fillId="0" borderId="1" xfId="0" applyNumberFormat="1" applyFont="1" applyFill="1" applyBorder="1" applyAlignment="1">
      <alignment horizontal="right" wrapText="1"/>
    </xf>
    <xf numFmtId="1" fontId="26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right" wrapText="1"/>
    </xf>
    <xf numFmtId="49" fontId="32" fillId="3" borderId="1" xfId="3" applyNumberFormat="1" applyFont="1" applyFill="1" applyBorder="1" applyAlignment="1">
      <alignment horizontal="center" vertical="center" wrapText="1"/>
    </xf>
    <xf numFmtId="2" fontId="32" fillId="3" borderId="1" xfId="4" applyNumberFormat="1" applyFont="1" applyFill="1" applyBorder="1" applyAlignment="1" applyProtection="1">
      <alignment horizontal="left" vertical="center" wrapText="1"/>
      <protection hidden="1"/>
    </xf>
    <xf numFmtId="2" fontId="30" fillId="3" borderId="1" xfId="0" applyNumberFormat="1" applyFont="1" applyFill="1" applyBorder="1" applyAlignment="1">
      <alignment horizontal="right" wrapText="1"/>
    </xf>
    <xf numFmtId="2" fontId="26" fillId="3" borderId="1" xfId="4" applyNumberFormat="1" applyFont="1" applyFill="1" applyBorder="1" applyAlignment="1" applyProtection="1">
      <alignment horizontal="center" vertical="center" wrapText="1"/>
      <protection hidden="1"/>
    </xf>
    <xf numFmtId="2" fontId="32" fillId="3" borderId="1" xfId="0" applyNumberFormat="1" applyFont="1" applyFill="1" applyBorder="1" applyAlignment="1">
      <alignment horizontal="right"/>
    </xf>
    <xf numFmtId="165" fontId="11" fillId="0" borderId="1" xfId="4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1" fontId="33" fillId="0" borderId="0" xfId="0" applyNumberFormat="1" applyFont="1" applyAlignment="1">
      <alignment horizontal="center"/>
    </xf>
    <xf numFmtId="0" fontId="10" fillId="2" borderId="0" xfId="0" applyFont="1" applyFill="1"/>
    <xf numFmtId="2" fontId="28" fillId="0" borderId="1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/>
    <xf numFmtId="4" fontId="27" fillId="0" borderId="1" xfId="3" applyNumberFormat="1" applyFont="1" applyFill="1" applyBorder="1" applyAlignment="1">
      <alignment horizontal="center" wrapText="1"/>
    </xf>
    <xf numFmtId="1" fontId="21" fillId="2" borderId="1" xfId="4" applyNumberFormat="1" applyFont="1" applyFill="1" applyBorder="1" applyAlignment="1" applyProtection="1">
      <alignment horizontal="center" vertical="center" wrapText="1"/>
      <protection hidden="1"/>
    </xf>
    <xf numFmtId="2" fontId="34" fillId="0" borderId="1" xfId="4" applyNumberFormat="1" applyFont="1" applyFill="1" applyBorder="1" applyAlignment="1" applyProtection="1">
      <alignment horizontal="right" vertical="center" wrapText="1"/>
      <protection hidden="1"/>
    </xf>
    <xf numFmtId="4" fontId="27" fillId="0" borderId="1" xfId="4" applyNumberFormat="1" applyFont="1" applyFill="1" applyBorder="1" applyAlignment="1" applyProtection="1">
      <alignment horizontal="right" vertical="center" wrapText="1"/>
      <protection hidden="1"/>
    </xf>
    <xf numFmtId="2" fontId="26" fillId="0" borderId="1" xfId="2" applyNumberFormat="1" applyFont="1" applyFill="1" applyBorder="1" applyAlignment="1" applyProtection="1">
      <alignment horizontal="right" vertical="center" wrapText="1"/>
      <protection hidden="1"/>
    </xf>
    <xf numFmtId="4" fontId="28" fillId="0" borderId="24" xfId="3" applyNumberFormat="1" applyFont="1" applyFill="1" applyBorder="1" applyAlignment="1">
      <alignment horizontal="right" wrapText="1"/>
    </xf>
    <xf numFmtId="4" fontId="27" fillId="0" borderId="24" xfId="3" applyNumberFormat="1" applyFont="1" applyFill="1" applyBorder="1" applyAlignment="1">
      <alignment horizontal="right" wrapText="1"/>
    </xf>
    <xf numFmtId="2" fontId="20" fillId="7" borderId="21" xfId="2" applyNumberFormat="1" applyFont="1" applyFill="1" applyBorder="1" applyAlignment="1" applyProtection="1">
      <alignment horizontal="center" vertical="center" wrapText="1"/>
      <protection hidden="1"/>
    </xf>
    <xf numFmtId="166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4" fontId="32" fillId="3" borderId="1" xfId="4" applyNumberFormat="1" applyFont="1" applyFill="1" applyBorder="1" applyAlignment="1" applyProtection="1">
      <alignment horizontal="right" vertical="center" wrapText="1"/>
      <protection hidden="1"/>
    </xf>
    <xf numFmtId="2" fontId="32" fillId="3" borderId="1" xfId="4" applyNumberFormat="1" applyFont="1" applyFill="1" applyBorder="1" applyAlignment="1" applyProtection="1">
      <alignment horizontal="right" vertical="center" wrapText="1"/>
      <protection hidden="1"/>
    </xf>
    <xf numFmtId="2" fontId="12" fillId="0" borderId="0" xfId="3" applyNumberFormat="1" applyFont="1" applyFill="1" applyBorder="1" applyAlignment="1">
      <alignment horizontal="center" vertical="center" wrapText="1"/>
    </xf>
    <xf numFmtId="2" fontId="9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9" fillId="0" borderId="3" xfId="2" applyNumberFormat="1" applyFont="1" applyFill="1" applyBorder="1" applyAlignment="1" applyProtection="1">
      <alignment horizontal="center" vertical="center" wrapText="1"/>
      <protection hidden="1"/>
    </xf>
    <xf numFmtId="2" fontId="9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2" applyNumberFormat="1" applyFont="1" applyFill="1" applyBorder="1" applyAlignment="1" applyProtection="1">
      <alignment horizontal="center" vertical="center" wrapText="1"/>
      <protection hidden="1"/>
    </xf>
    <xf numFmtId="1" fontId="12" fillId="0" borderId="0" xfId="3" applyNumberFormat="1" applyFont="1" applyFill="1" applyBorder="1" applyAlignment="1">
      <alignment horizontal="center" vertical="center" wrapText="1"/>
    </xf>
    <xf numFmtId="2" fontId="16" fillId="0" borderId="21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21" xfId="2" applyNumberFormat="1" applyFont="1" applyFill="1" applyBorder="1" applyAlignment="1" applyProtection="1">
      <alignment horizontal="center" vertical="center" wrapText="1"/>
      <protection hidden="1"/>
    </xf>
    <xf numFmtId="2" fontId="11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11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9" fillId="5" borderId="5" xfId="4" applyNumberFormat="1" applyFont="1" applyFill="1" applyBorder="1" applyAlignment="1" applyProtection="1">
      <alignment horizontal="left" vertical="center" wrapText="1"/>
      <protection hidden="1"/>
    </xf>
    <xf numFmtId="2" fontId="9" fillId="5" borderId="31" xfId="4" applyNumberFormat="1" applyFont="1" applyFill="1" applyBorder="1" applyAlignment="1" applyProtection="1">
      <alignment horizontal="left" vertical="center" wrapText="1"/>
      <protection hidden="1"/>
    </xf>
    <xf numFmtId="2" fontId="9" fillId="5" borderId="29" xfId="4" applyNumberFormat="1" applyFont="1" applyFill="1" applyBorder="1" applyAlignment="1" applyProtection="1">
      <alignment horizontal="left" vertical="center" wrapText="1"/>
      <protection hidden="1"/>
    </xf>
    <xf numFmtId="1" fontId="9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11" fillId="0" borderId="7" xfId="4" applyNumberFormat="1" applyFont="1" applyFill="1" applyBorder="1" applyAlignment="1" applyProtection="1">
      <alignment horizontal="center" vertical="center" wrapText="1"/>
      <protection hidden="1"/>
    </xf>
    <xf numFmtId="2" fontId="11" fillId="0" borderId="12" xfId="4" applyNumberFormat="1" applyFont="1" applyFill="1" applyBorder="1" applyAlignment="1" applyProtection="1">
      <alignment horizontal="center" vertical="center" wrapText="1"/>
      <protection hidden="1"/>
    </xf>
    <xf numFmtId="2" fontId="11" fillId="0" borderId="4" xfId="4" applyNumberFormat="1" applyFont="1" applyFill="1" applyBorder="1" applyAlignment="1" applyProtection="1">
      <alignment horizontal="center" vertical="center" wrapText="1"/>
      <protection hidden="1"/>
    </xf>
    <xf numFmtId="2" fontId="9" fillId="5" borderId="1" xfId="4" applyNumberFormat="1" applyFont="1" applyFill="1" applyBorder="1" applyAlignment="1" applyProtection="1">
      <alignment horizontal="center" vertical="center" wrapText="1"/>
      <protection hidden="1"/>
    </xf>
    <xf numFmtId="4" fontId="11" fillId="0" borderId="7" xfId="4" applyNumberFormat="1" applyFont="1" applyFill="1" applyBorder="1" applyAlignment="1" applyProtection="1">
      <alignment horizontal="right" vertical="center" wrapText="1"/>
      <protection hidden="1"/>
    </xf>
    <xf numFmtId="4" fontId="11" fillId="0" borderId="4" xfId="4" applyNumberFormat="1" applyFont="1" applyFill="1" applyBorder="1" applyAlignment="1" applyProtection="1">
      <alignment horizontal="right" vertical="center" wrapText="1"/>
      <protection hidden="1"/>
    </xf>
    <xf numFmtId="2" fontId="11" fillId="0" borderId="27" xfId="2" applyNumberFormat="1" applyFont="1" applyFill="1" applyBorder="1" applyAlignment="1" applyProtection="1">
      <alignment horizontal="center" vertical="center" wrapText="1"/>
      <protection hidden="1"/>
    </xf>
    <xf numFmtId="1" fontId="11" fillId="0" borderId="27" xfId="2" applyNumberFormat="1" applyFont="1" applyFill="1" applyBorder="1" applyAlignment="1" applyProtection="1">
      <alignment horizontal="center" vertical="center" wrapText="1"/>
      <protection hidden="1"/>
    </xf>
    <xf numFmtId="2" fontId="9" fillId="6" borderId="17" xfId="2" applyNumberFormat="1" applyFont="1" applyFill="1" applyBorder="1" applyAlignment="1" applyProtection="1">
      <alignment horizontal="center" vertical="center" wrapText="1"/>
      <protection hidden="1"/>
    </xf>
    <xf numFmtId="2" fontId="9" fillId="6" borderId="18" xfId="2" applyNumberFormat="1" applyFont="1" applyFill="1" applyBorder="1" applyAlignment="1" applyProtection="1">
      <alignment horizontal="center" vertical="center" wrapText="1"/>
      <protection hidden="1"/>
    </xf>
    <xf numFmtId="1" fontId="9" fillId="6" borderId="18" xfId="2" applyNumberFormat="1" applyFont="1" applyFill="1" applyBorder="1" applyAlignment="1" applyProtection="1">
      <alignment horizontal="center" vertical="center" wrapText="1"/>
      <protection hidden="1"/>
    </xf>
    <xf numFmtId="2" fontId="9" fillId="6" borderId="19" xfId="2" applyNumberFormat="1" applyFont="1" applyFill="1" applyBorder="1" applyAlignment="1" applyProtection="1">
      <alignment horizontal="center" vertical="center" wrapText="1"/>
      <protection hidden="1"/>
    </xf>
    <xf numFmtId="2" fontId="19" fillId="4" borderId="3" xfId="2" applyNumberFormat="1" applyFont="1" applyFill="1" applyBorder="1" applyAlignment="1" applyProtection="1">
      <alignment horizontal="left" vertical="center" wrapText="1"/>
      <protection hidden="1"/>
    </xf>
    <xf numFmtId="2" fontId="19" fillId="4" borderId="16" xfId="2" applyNumberFormat="1" applyFont="1" applyFill="1" applyBorder="1" applyAlignment="1" applyProtection="1">
      <alignment horizontal="left" vertical="center" wrapText="1"/>
      <protection hidden="1"/>
    </xf>
    <xf numFmtId="1" fontId="19" fillId="4" borderId="16" xfId="2" applyNumberFormat="1" applyFont="1" applyFill="1" applyBorder="1" applyAlignment="1" applyProtection="1">
      <alignment horizontal="left" vertical="center" wrapText="1"/>
      <protection hidden="1"/>
    </xf>
    <xf numFmtId="2" fontId="19" fillId="4" borderId="6" xfId="2" applyNumberFormat="1" applyFont="1" applyFill="1" applyBorder="1" applyAlignment="1" applyProtection="1">
      <alignment horizontal="left" vertical="center" wrapText="1"/>
      <protection hidden="1"/>
    </xf>
    <xf numFmtId="2" fontId="9" fillId="6" borderId="2" xfId="2" applyNumberFormat="1" applyFont="1" applyFill="1" applyBorder="1" applyAlignment="1" applyProtection="1">
      <alignment horizontal="center" vertical="center" wrapText="1"/>
      <protection hidden="1"/>
    </xf>
    <xf numFmtId="2" fontId="9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9" fillId="6" borderId="0" xfId="2" applyNumberFormat="1" applyFont="1" applyFill="1" applyBorder="1" applyAlignment="1" applyProtection="1">
      <alignment horizontal="center" vertical="center" wrapText="1"/>
      <protection hidden="1"/>
    </xf>
    <xf numFmtId="2" fontId="9" fillId="6" borderId="11" xfId="2" applyNumberFormat="1" applyFont="1" applyFill="1" applyBorder="1" applyAlignment="1" applyProtection="1">
      <alignment horizontal="center" vertical="center" wrapText="1"/>
      <protection hidden="1"/>
    </xf>
    <xf numFmtId="2" fontId="9" fillId="5" borderId="1" xfId="4" applyNumberFormat="1" applyFont="1" applyFill="1" applyBorder="1" applyAlignment="1" applyProtection="1">
      <alignment horizontal="left" vertical="center" wrapText="1"/>
      <protection hidden="1"/>
    </xf>
    <xf numFmtId="4" fontId="11" fillId="0" borderId="12" xfId="4" applyNumberFormat="1" applyFont="1" applyFill="1" applyBorder="1" applyAlignment="1" applyProtection="1">
      <alignment horizontal="right" vertical="center" wrapText="1"/>
      <protection hidden="1"/>
    </xf>
    <xf numFmtId="2" fontId="32" fillId="5" borderId="1" xfId="4" applyNumberFormat="1" applyFont="1" applyFill="1" applyBorder="1" applyAlignment="1" applyProtection="1">
      <alignment horizontal="left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_ПП" xfId="2" xr:uid="{00000000-0005-0000-0000-000002000000}"/>
    <cellStyle name="Обычный_Расчёт платы за сод. 38 домов УГХ" xfId="3" xr:uid="{00000000-0005-0000-0000-000003000000}"/>
    <cellStyle name="Обычный_Свод_0" xfId="4" xr:uid="{00000000-0005-0000-0000-000004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B9D9-7047-584F-AEAF-DCB592C9C332}">
  <dimension ref="A1:AA36"/>
  <sheetViews>
    <sheetView topLeftCell="A14" zoomScale="125" zoomScaleNormal="125" workbookViewId="0">
      <selection activeCell="C11" sqref="C11"/>
    </sheetView>
  </sheetViews>
  <sheetFormatPr baseColWidth="10" defaultRowHeight="16"/>
  <cols>
    <col min="1" max="1" width="5.1640625" style="40" customWidth="1"/>
    <col min="2" max="2" width="50.33203125" style="41" customWidth="1"/>
    <col min="3" max="3" width="15.83203125" style="42" customWidth="1"/>
    <col min="4" max="4" width="18.6640625" style="44" customWidth="1"/>
    <col min="5" max="5" width="15.1640625" style="43" bestFit="1" customWidth="1"/>
    <col min="6" max="16384" width="10.83203125" style="3"/>
  </cols>
  <sheetData>
    <row r="1" spans="1:27" ht="15" customHeight="1">
      <c r="A1" s="202" t="s">
        <v>122</v>
      </c>
      <c r="B1" s="202"/>
      <c r="C1" s="202"/>
      <c r="D1" s="202"/>
      <c r="E1" s="20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" customHeight="1">
      <c r="A2" s="202" t="s">
        <v>123</v>
      </c>
      <c r="B2" s="202"/>
      <c r="C2" s="202"/>
      <c r="D2" s="202"/>
      <c r="E2" s="20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>
      <c r="A3" s="13"/>
      <c r="B3" s="203" t="s">
        <v>189</v>
      </c>
      <c r="C3" s="203"/>
      <c r="D3" s="203"/>
      <c r="E3" s="3"/>
    </row>
    <row r="4" spans="1:27" ht="17" thickBot="1">
      <c r="A4" s="13"/>
      <c r="B4" s="203"/>
      <c r="C4" s="203"/>
      <c r="D4" s="203"/>
      <c r="E4" s="14"/>
    </row>
    <row r="5" spans="1:27" ht="52" thickBot="1">
      <c r="A5" s="1" t="s">
        <v>23</v>
      </c>
      <c r="B5" s="15" t="s">
        <v>120</v>
      </c>
      <c r="C5" s="15" t="s">
        <v>127</v>
      </c>
      <c r="D5" s="15" t="s">
        <v>128</v>
      </c>
      <c r="E5" s="16" t="s">
        <v>154</v>
      </c>
    </row>
    <row r="6" spans="1:27" ht="34">
      <c r="A6" s="17" t="s">
        <v>72</v>
      </c>
      <c r="B6" s="17" t="s">
        <v>124</v>
      </c>
      <c r="C6" s="18">
        <v>9763.7999999999993</v>
      </c>
      <c r="D6" s="19"/>
      <c r="E6" s="20" t="s">
        <v>153</v>
      </c>
    </row>
    <row r="7" spans="1:27" s="23" customFormat="1" ht="17">
      <c r="A7" s="17" t="s">
        <v>73</v>
      </c>
      <c r="B7" s="21" t="s">
        <v>121</v>
      </c>
      <c r="C7" s="22">
        <v>6948</v>
      </c>
      <c r="D7" s="22">
        <f>D8+D10</f>
        <v>57</v>
      </c>
      <c r="E7" s="6"/>
    </row>
    <row r="8" spans="1:27" s="23" customFormat="1" ht="34">
      <c r="A8" s="17" t="s">
        <v>75</v>
      </c>
      <c r="B8" s="24" t="s">
        <v>184</v>
      </c>
      <c r="C8" s="20">
        <v>5714.4</v>
      </c>
      <c r="D8" s="22">
        <v>55</v>
      </c>
      <c r="E8" s="6"/>
    </row>
    <row r="9" spans="1:27" s="23" customFormat="1" ht="17">
      <c r="A9" s="17"/>
      <c r="B9" s="24" t="s">
        <v>150</v>
      </c>
      <c r="C9" s="191" t="s">
        <v>151</v>
      </c>
      <c r="D9" s="22"/>
      <c r="E9" s="6"/>
    </row>
    <row r="10" spans="1:27" s="23" customFormat="1" ht="17">
      <c r="A10" s="17" t="s">
        <v>18</v>
      </c>
      <c r="B10" s="24" t="s">
        <v>185</v>
      </c>
      <c r="C10" s="22">
        <f>C11+C12</f>
        <v>1236.6999999999998</v>
      </c>
      <c r="D10" s="22">
        <f>D11+D12</f>
        <v>2</v>
      </c>
      <c r="E10" s="6"/>
    </row>
    <row r="11" spans="1:27" s="23" customFormat="1" ht="17">
      <c r="A11" s="17" t="s">
        <v>115</v>
      </c>
      <c r="B11" s="24" t="s">
        <v>125</v>
      </c>
      <c r="C11" s="20">
        <v>616.29999999999995</v>
      </c>
      <c r="D11" s="20">
        <v>1</v>
      </c>
      <c r="E11" s="6"/>
    </row>
    <row r="12" spans="1:27" s="23" customFormat="1" ht="17">
      <c r="A12" s="17" t="s">
        <v>13</v>
      </c>
      <c r="B12" s="24" t="s">
        <v>126</v>
      </c>
      <c r="C12" s="20">
        <v>620.4</v>
      </c>
      <c r="D12" s="20">
        <v>1</v>
      </c>
      <c r="E12" s="6"/>
    </row>
    <row r="13" spans="1:27" s="23" customFormat="1" ht="17">
      <c r="A13" s="17" t="s">
        <v>9</v>
      </c>
      <c r="B13" s="21" t="s">
        <v>36</v>
      </c>
      <c r="C13" s="22">
        <v>1077.9000000000001</v>
      </c>
      <c r="D13" s="25"/>
      <c r="E13" s="6"/>
    </row>
    <row r="14" spans="1:27" s="23" customFormat="1" ht="17">
      <c r="A14" s="17" t="s">
        <v>7</v>
      </c>
      <c r="B14" s="24" t="s">
        <v>146</v>
      </c>
      <c r="C14" s="20">
        <f>5.4+5.4+26.1+10.2+4.6</f>
        <v>51.70000000000001</v>
      </c>
      <c r="D14" s="25"/>
      <c r="E14" s="6"/>
    </row>
    <row r="15" spans="1:27" s="23" customFormat="1" ht="17">
      <c r="A15" s="17" t="s">
        <v>6</v>
      </c>
      <c r="B15" s="24" t="s">
        <v>35</v>
      </c>
      <c r="C15" s="20">
        <f>51.4+60.7+108.6</f>
        <v>220.7</v>
      </c>
      <c r="D15" s="25"/>
      <c r="E15" s="6"/>
    </row>
    <row r="16" spans="1:27" s="23" customFormat="1" ht="17">
      <c r="A16" s="17" t="s">
        <v>5</v>
      </c>
      <c r="B16" s="24" t="s">
        <v>34</v>
      </c>
      <c r="C16" s="20">
        <f>C13-C14-C15-C17</f>
        <v>726.1</v>
      </c>
      <c r="D16" s="25"/>
      <c r="E16" s="6"/>
    </row>
    <row r="17" spans="1:5" s="23" customFormat="1" ht="17">
      <c r="A17" s="17" t="s">
        <v>76</v>
      </c>
      <c r="B17" s="24" t="s">
        <v>130</v>
      </c>
      <c r="C17" s="20">
        <v>79.400000000000006</v>
      </c>
      <c r="D17" s="26"/>
      <c r="E17" s="6"/>
    </row>
    <row r="18" spans="1:5" s="23" customFormat="1" ht="34">
      <c r="A18" s="17" t="s">
        <v>77</v>
      </c>
      <c r="B18" s="27" t="s">
        <v>155</v>
      </c>
      <c r="C18" s="28"/>
      <c r="D18" s="26"/>
      <c r="E18" s="6"/>
    </row>
    <row r="19" spans="1:5" s="23" customFormat="1" ht="34">
      <c r="A19" s="17" t="s">
        <v>78</v>
      </c>
      <c r="B19" s="24" t="s">
        <v>148</v>
      </c>
      <c r="C19" s="51">
        <v>2177</v>
      </c>
      <c r="D19" s="20" t="s">
        <v>149</v>
      </c>
      <c r="E19" s="20" t="s">
        <v>147</v>
      </c>
    </row>
    <row r="20" spans="1:5" s="23" customFormat="1" ht="34">
      <c r="A20" s="17" t="s">
        <v>119</v>
      </c>
      <c r="B20" s="24" t="s">
        <v>152</v>
      </c>
      <c r="C20" s="29">
        <v>724.6</v>
      </c>
      <c r="D20" s="29"/>
      <c r="E20" s="6"/>
    </row>
    <row r="21" spans="1:5" s="23" customFormat="1" ht="34">
      <c r="A21" s="17" t="s">
        <v>131</v>
      </c>
      <c r="B21" s="24" t="s">
        <v>79</v>
      </c>
      <c r="C21" s="29">
        <f>C19-C20</f>
        <v>1452.4</v>
      </c>
      <c r="D21" s="26"/>
      <c r="E21" s="6"/>
    </row>
    <row r="22" spans="1:5" s="23" customFormat="1" ht="17">
      <c r="A22" s="17" t="s">
        <v>132</v>
      </c>
      <c r="B22" s="204" t="s">
        <v>33</v>
      </c>
      <c r="C22" s="205"/>
      <c r="D22" s="205"/>
      <c r="E22" s="206"/>
    </row>
    <row r="23" spans="1:5" s="23" customFormat="1" ht="17">
      <c r="A23" s="17" t="s">
        <v>133</v>
      </c>
      <c r="B23" s="30" t="s">
        <v>32</v>
      </c>
      <c r="C23" s="20" t="s">
        <v>129</v>
      </c>
      <c r="D23" s="31"/>
      <c r="E23" s="32"/>
    </row>
    <row r="24" spans="1:5" s="23" customFormat="1" ht="17">
      <c r="A24" s="17" t="s">
        <v>134</v>
      </c>
      <c r="B24" s="24" t="s">
        <v>31</v>
      </c>
      <c r="C24" s="33">
        <v>15</v>
      </c>
      <c r="D24" s="26"/>
      <c r="E24" s="6"/>
    </row>
    <row r="25" spans="1:5" s="23" customFormat="1" ht="17">
      <c r="A25" s="17" t="s">
        <v>135</v>
      </c>
      <c r="B25" s="24" t="s">
        <v>30</v>
      </c>
      <c r="C25" s="33">
        <v>1</v>
      </c>
      <c r="D25" s="26"/>
      <c r="E25" s="6"/>
    </row>
    <row r="26" spans="1:5" s="23" customFormat="1" ht="17">
      <c r="A26" s="17" t="s">
        <v>136</v>
      </c>
      <c r="B26" s="24" t="s">
        <v>29</v>
      </c>
      <c r="C26" s="33">
        <v>1</v>
      </c>
      <c r="D26" s="26"/>
      <c r="E26" s="6"/>
    </row>
    <row r="27" spans="1:5" s="23" customFormat="1" ht="17">
      <c r="A27" s="17" t="s">
        <v>137</v>
      </c>
      <c r="B27" s="24" t="s">
        <v>28</v>
      </c>
      <c r="C27" s="33">
        <v>1</v>
      </c>
      <c r="D27" s="26"/>
      <c r="E27" s="6"/>
    </row>
    <row r="28" spans="1:5" s="23" customFormat="1" ht="17">
      <c r="A28" s="17" t="s">
        <v>138</v>
      </c>
      <c r="B28" s="24" t="s">
        <v>27</v>
      </c>
      <c r="C28" s="33">
        <v>0</v>
      </c>
      <c r="D28" s="34"/>
      <c r="E28" s="6"/>
    </row>
    <row r="29" spans="1:5" s="23" customFormat="1" ht="17">
      <c r="A29" s="17" t="s">
        <v>139</v>
      </c>
      <c r="B29" s="24" t="s">
        <v>182</v>
      </c>
      <c r="C29" s="33" t="s">
        <v>156</v>
      </c>
      <c r="D29" s="26"/>
      <c r="E29" s="6"/>
    </row>
    <row r="30" spans="1:5" s="23" customFormat="1" ht="17">
      <c r="A30" s="17" t="s">
        <v>140</v>
      </c>
      <c r="B30" s="24" t="s">
        <v>26</v>
      </c>
      <c r="C30" s="33">
        <v>2</v>
      </c>
      <c r="D30" s="35"/>
      <c r="E30" s="6"/>
    </row>
    <row r="31" spans="1:5" s="23" customFormat="1" ht="17">
      <c r="A31" s="17" t="s">
        <v>141</v>
      </c>
      <c r="B31" s="24" t="s">
        <v>25</v>
      </c>
      <c r="C31" s="33">
        <v>77</v>
      </c>
      <c r="D31" s="36"/>
      <c r="E31" s="6"/>
    </row>
    <row r="32" spans="1:5" s="23" customFormat="1" ht="17">
      <c r="A32" s="17" t="s">
        <v>142</v>
      </c>
      <c r="B32" s="24" t="s">
        <v>183</v>
      </c>
      <c r="C32" s="33" t="s">
        <v>24</v>
      </c>
      <c r="D32" s="26"/>
      <c r="E32" s="6"/>
    </row>
    <row r="33" spans="1:5" s="23" customFormat="1" ht="17">
      <c r="A33" s="17" t="s">
        <v>143</v>
      </c>
      <c r="B33" s="24" t="s">
        <v>161</v>
      </c>
      <c r="C33" s="33" t="s">
        <v>24</v>
      </c>
      <c r="D33" s="26"/>
      <c r="E33" s="6"/>
    </row>
    <row r="34" spans="1:5" s="23" customFormat="1" ht="34">
      <c r="A34" s="24" t="s">
        <v>144</v>
      </c>
      <c r="B34" s="24" t="s">
        <v>162</v>
      </c>
      <c r="C34" s="33" t="s">
        <v>160</v>
      </c>
      <c r="D34" s="25"/>
      <c r="E34" s="6"/>
    </row>
    <row r="35" spans="1:5" s="23" customFormat="1" ht="17">
      <c r="A35" s="24" t="s">
        <v>145</v>
      </c>
      <c r="B35" s="24" t="s">
        <v>157</v>
      </c>
      <c r="C35" s="33" t="s">
        <v>159</v>
      </c>
      <c r="D35" s="33" t="s">
        <v>158</v>
      </c>
      <c r="E35" s="6"/>
    </row>
    <row r="36" spans="1:5" s="23" customFormat="1">
      <c r="A36" s="37"/>
      <c r="B36" s="37"/>
      <c r="C36" s="38"/>
      <c r="D36" s="38"/>
      <c r="E36" s="39"/>
    </row>
  </sheetData>
  <mergeCells count="5">
    <mergeCell ref="A1:E1"/>
    <mergeCell ref="A2:E2"/>
    <mergeCell ref="B4:D4"/>
    <mergeCell ref="B3:D3"/>
    <mergeCell ref="B22:E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FF9C-ABC0-0741-9E0E-B68C83146F9C}">
  <sheetPr>
    <pageSetUpPr fitToPage="1"/>
  </sheetPr>
  <dimension ref="A1:H216"/>
  <sheetViews>
    <sheetView tabSelected="1" topLeftCell="A55" zoomScale="125" zoomScaleNormal="125" workbookViewId="0">
      <selection activeCell="H37" sqref="H37"/>
    </sheetView>
  </sheetViews>
  <sheetFormatPr baseColWidth="10" defaultRowHeight="16" outlineLevelRow="2" outlineLevelCol="1"/>
  <cols>
    <col min="1" max="1" width="6.6640625" style="3" bestFit="1" customWidth="1"/>
    <col min="2" max="2" width="73.83203125" style="3" customWidth="1"/>
    <col min="3" max="3" width="17.1640625" style="119" customWidth="1"/>
    <col min="4" max="4" width="15.33203125" style="78" customWidth="1"/>
    <col min="5" max="5" width="13.6640625" style="119" bestFit="1" customWidth="1"/>
    <col min="6" max="6" width="12.1640625" style="119" bestFit="1" customWidth="1"/>
    <col min="7" max="7" width="11.1640625" style="3" hidden="1" customWidth="1" outlineLevel="1"/>
    <col min="8" max="8" width="10.83203125" style="3" collapsed="1"/>
    <col min="9" max="16384" width="10.83203125" style="3"/>
  </cols>
  <sheetData>
    <row r="1" spans="1:6" s="185" customFormat="1" ht="13">
      <c r="C1" s="186"/>
      <c r="D1" s="187" t="s">
        <v>418</v>
      </c>
      <c r="E1" s="186"/>
      <c r="F1" s="186"/>
    </row>
    <row r="2" spans="1:6" ht="16" customHeight="1">
      <c r="A2" s="202" t="s">
        <v>208</v>
      </c>
      <c r="B2" s="202"/>
      <c r="C2" s="202"/>
      <c r="D2" s="207"/>
      <c r="E2" s="202"/>
      <c r="F2" s="202"/>
    </row>
    <row r="3" spans="1:6" ht="16" customHeight="1">
      <c r="A3" s="202" t="s">
        <v>190</v>
      </c>
      <c r="B3" s="202"/>
      <c r="C3" s="202"/>
      <c r="D3" s="207"/>
      <c r="E3" s="202"/>
      <c r="F3" s="202"/>
    </row>
    <row r="4" spans="1:6" ht="16" customHeight="1">
      <c r="A4" s="203" t="s">
        <v>191</v>
      </c>
      <c r="B4" s="203"/>
      <c r="C4" s="203"/>
      <c r="D4" s="215"/>
      <c r="E4" s="203"/>
      <c r="F4" s="203"/>
    </row>
    <row r="5" spans="1:6" ht="17" customHeight="1" thickBot="1">
      <c r="B5" s="47" t="s">
        <v>192</v>
      </c>
      <c r="C5" s="142" t="s">
        <v>193</v>
      </c>
      <c r="D5" s="73" t="s">
        <v>200</v>
      </c>
      <c r="E5" s="142">
        <v>12</v>
      </c>
    </row>
    <row r="6" spans="1:6" ht="17" customHeight="1">
      <c r="A6" s="52" t="s">
        <v>72</v>
      </c>
      <c r="B6" s="208" t="s">
        <v>121</v>
      </c>
      <c r="C6" s="208"/>
      <c r="D6" s="209"/>
      <c r="E6" s="208"/>
      <c r="F6" s="120">
        <f>F7+F8</f>
        <v>6866.7</v>
      </c>
    </row>
    <row r="7" spans="1:6" ht="17" customHeight="1">
      <c r="A7" s="53"/>
      <c r="B7" s="210" t="s">
        <v>184</v>
      </c>
      <c r="C7" s="210"/>
      <c r="D7" s="211"/>
      <c r="E7" s="210"/>
      <c r="F7" s="121">
        <v>5714.4</v>
      </c>
    </row>
    <row r="8" spans="1:6" s="23" customFormat="1" ht="17" customHeight="1">
      <c r="A8" s="54"/>
      <c r="B8" s="210" t="s">
        <v>185</v>
      </c>
      <c r="C8" s="210"/>
      <c r="D8" s="211"/>
      <c r="E8" s="210"/>
      <c r="F8" s="122">
        <f>F9+F12-F10</f>
        <v>1152.3</v>
      </c>
    </row>
    <row r="9" spans="1:6" s="23" customFormat="1" ht="17" customHeight="1">
      <c r="A9" s="54"/>
      <c r="B9" s="210" t="s">
        <v>125</v>
      </c>
      <c r="C9" s="210"/>
      <c r="D9" s="211"/>
      <c r="E9" s="210"/>
      <c r="F9" s="121">
        <f>507.1+84.4+11.2+9+4.6</f>
        <v>616.30000000000007</v>
      </c>
    </row>
    <row r="10" spans="1:6" s="23" customFormat="1" ht="17" customHeight="1">
      <c r="A10" s="54"/>
      <c r="B10" s="210" t="s">
        <v>415</v>
      </c>
      <c r="C10" s="210"/>
      <c r="D10" s="211"/>
      <c r="E10" s="210"/>
      <c r="F10" s="196">
        <v>84.4</v>
      </c>
    </row>
    <row r="11" spans="1:6" s="23" customFormat="1" ht="17" customHeight="1">
      <c r="A11" s="54"/>
      <c r="B11" s="210" t="s">
        <v>417</v>
      </c>
      <c r="C11" s="210"/>
      <c r="D11" s="211"/>
      <c r="E11" s="210"/>
      <c r="F11" s="197">
        <f>F9-F10</f>
        <v>531.90000000000009</v>
      </c>
    </row>
    <row r="12" spans="1:6" s="23" customFormat="1" ht="17" customHeight="1">
      <c r="A12" s="54"/>
      <c r="B12" s="210" t="s">
        <v>126</v>
      </c>
      <c r="C12" s="210"/>
      <c r="D12" s="211"/>
      <c r="E12" s="210"/>
      <c r="F12" s="121">
        <v>620.4</v>
      </c>
    </row>
    <row r="13" spans="1:6" s="23" customFormat="1" ht="17" customHeight="1">
      <c r="A13" s="53">
        <v>2</v>
      </c>
      <c r="B13" s="216" t="s">
        <v>36</v>
      </c>
      <c r="C13" s="216"/>
      <c r="D13" s="217"/>
      <c r="E13" s="216"/>
      <c r="F13" s="122">
        <v>1077.9000000000001</v>
      </c>
    </row>
    <row r="14" spans="1:6" s="23" customFormat="1" ht="17" customHeight="1">
      <c r="A14" s="53"/>
      <c r="B14" s="216" t="s">
        <v>416</v>
      </c>
      <c r="C14" s="216"/>
      <c r="D14" s="217"/>
      <c r="E14" s="216"/>
      <c r="F14" s="122">
        <f>F13+F10</f>
        <v>1162.3000000000002</v>
      </c>
    </row>
    <row r="15" spans="1:6" s="23" customFormat="1" ht="17" customHeight="1">
      <c r="A15" s="54"/>
      <c r="B15" s="210" t="s">
        <v>146</v>
      </c>
      <c r="C15" s="210"/>
      <c r="D15" s="211"/>
      <c r="E15" s="210"/>
      <c r="F15" s="121">
        <f>5.4+5.4+26.1+10.2+4.6</f>
        <v>51.70000000000001</v>
      </c>
    </row>
    <row r="16" spans="1:6" s="23" customFormat="1" ht="17" customHeight="1">
      <c r="A16" s="54"/>
      <c r="B16" s="210" t="s">
        <v>35</v>
      </c>
      <c r="C16" s="210"/>
      <c r="D16" s="211"/>
      <c r="E16" s="210"/>
      <c r="F16" s="121">
        <f>51.4+60.7+108.6</f>
        <v>220.7</v>
      </c>
    </row>
    <row r="17" spans="1:7" s="23" customFormat="1" ht="17" customHeight="1">
      <c r="A17" s="54"/>
      <c r="B17" s="210" t="s">
        <v>34</v>
      </c>
      <c r="C17" s="210"/>
      <c r="D17" s="211"/>
      <c r="E17" s="210"/>
      <c r="F17" s="121">
        <f>F13-F15-F16-F18</f>
        <v>726.1</v>
      </c>
    </row>
    <row r="18" spans="1:7" s="23" customFormat="1" ht="17" customHeight="1">
      <c r="A18" s="54"/>
      <c r="B18" s="210" t="s">
        <v>130</v>
      </c>
      <c r="C18" s="210"/>
      <c r="D18" s="211"/>
      <c r="E18" s="210"/>
      <c r="F18" s="121">
        <v>79.400000000000006</v>
      </c>
    </row>
    <row r="19" spans="1:7" ht="17" customHeight="1">
      <c r="A19" s="53">
        <v>3</v>
      </c>
      <c r="B19" s="216" t="s">
        <v>194</v>
      </c>
      <c r="C19" s="216"/>
      <c r="D19" s="217"/>
      <c r="E19" s="216"/>
      <c r="F19" s="123">
        <v>2177</v>
      </c>
    </row>
    <row r="20" spans="1:7" ht="17" customHeight="1">
      <c r="A20" s="54"/>
      <c r="B20" s="210" t="s">
        <v>152</v>
      </c>
      <c r="C20" s="210"/>
      <c r="D20" s="211"/>
      <c r="E20" s="210"/>
      <c r="F20" s="124">
        <v>724.6</v>
      </c>
    </row>
    <row r="21" spans="1:7" ht="17" customHeight="1" thickBot="1">
      <c r="A21" s="55"/>
      <c r="B21" s="224" t="s">
        <v>79</v>
      </c>
      <c r="C21" s="224"/>
      <c r="D21" s="225"/>
      <c r="E21" s="224"/>
      <c r="F21" s="125">
        <f>F19-F20</f>
        <v>1452.4</v>
      </c>
    </row>
    <row r="22" spans="1:7" ht="17" customHeight="1" thickBot="1">
      <c r="A22" s="226" t="s">
        <v>202</v>
      </c>
      <c r="B22" s="227"/>
      <c r="C22" s="227"/>
      <c r="D22" s="228"/>
      <c r="E22" s="227"/>
      <c r="F22" s="229"/>
    </row>
    <row r="23" spans="1:7" ht="52" thickBot="1">
      <c r="A23" s="1" t="s">
        <v>23</v>
      </c>
      <c r="B23" s="2" t="s">
        <v>186</v>
      </c>
      <c r="C23" s="156" t="s">
        <v>187</v>
      </c>
      <c r="D23" s="74" t="s">
        <v>198</v>
      </c>
      <c r="E23" s="126" t="s">
        <v>199</v>
      </c>
      <c r="F23" s="126" t="s">
        <v>188</v>
      </c>
    </row>
    <row r="24" spans="1:7" ht="17" customHeight="1">
      <c r="A24" s="97">
        <v>1</v>
      </c>
      <c r="B24" s="230" t="s">
        <v>196</v>
      </c>
      <c r="C24" s="231"/>
      <c r="D24" s="232"/>
      <c r="E24" s="231"/>
      <c r="F24" s="233"/>
      <c r="G24" s="3">
        <f>G25*39</f>
        <v>62579.399999999994</v>
      </c>
    </row>
    <row r="25" spans="1:7" ht="17" customHeight="1">
      <c r="A25" s="56"/>
      <c r="B25" s="57" t="s">
        <v>184</v>
      </c>
      <c r="C25" s="127" t="s">
        <v>195</v>
      </c>
      <c r="D25" s="60">
        <f>F7</f>
        <v>5714.4</v>
      </c>
      <c r="E25" s="143">
        <f>D25*F25</f>
        <v>214289.65352152474</v>
      </c>
      <c r="F25" s="195">
        <f>F40</f>
        <v>37.499939367479485</v>
      </c>
      <c r="G25" s="188">
        <f>920.8+683.8</f>
        <v>1604.6</v>
      </c>
    </row>
    <row r="26" spans="1:7" ht="17" customHeight="1">
      <c r="A26" s="56"/>
      <c r="B26" s="57" t="s">
        <v>185</v>
      </c>
      <c r="C26" s="127"/>
      <c r="D26" s="60">
        <f>D27+D28</f>
        <v>1152.3000000000002</v>
      </c>
      <c r="E26" s="143">
        <f>D26*F26</f>
        <v>0</v>
      </c>
      <c r="F26" s="195"/>
      <c r="G26" s="96">
        <f>G25*F25*E5</f>
        <v>722068.83250869089</v>
      </c>
    </row>
    <row r="27" spans="1:7" ht="17" customHeight="1">
      <c r="A27" s="56"/>
      <c r="B27" s="57" t="s">
        <v>125</v>
      </c>
      <c r="C27" s="127" t="s">
        <v>195</v>
      </c>
      <c r="D27" s="60">
        <f>F9-F10</f>
        <v>531.90000000000009</v>
      </c>
      <c r="E27" s="143">
        <f>D27*F27</f>
        <v>19946.21774956234</v>
      </c>
      <c r="F27" s="195">
        <f>F40</f>
        <v>37.499939367479485</v>
      </c>
      <c r="G27" s="184"/>
    </row>
    <row r="28" spans="1:7" ht="17" customHeight="1">
      <c r="A28" s="50"/>
      <c r="B28" s="57" t="s">
        <v>126</v>
      </c>
      <c r="C28" s="127" t="s">
        <v>195</v>
      </c>
      <c r="D28" s="60">
        <f>F12</f>
        <v>620.4</v>
      </c>
      <c r="E28" s="143">
        <f>D28*F28</f>
        <v>23264.962383584272</v>
      </c>
      <c r="F28" s="195">
        <f>F40</f>
        <v>37.499939367479485</v>
      </c>
      <c r="G28" s="96"/>
    </row>
    <row r="29" spans="1:7" ht="34">
      <c r="A29" s="50" t="s">
        <v>73</v>
      </c>
      <c r="B29" s="58" t="s">
        <v>203</v>
      </c>
      <c r="C29" s="144"/>
      <c r="D29" s="76"/>
      <c r="E29" s="144"/>
      <c r="F29" s="127"/>
    </row>
    <row r="30" spans="1:7" ht="34">
      <c r="A30" s="50" t="s">
        <v>75</v>
      </c>
      <c r="B30" s="58" t="s">
        <v>204</v>
      </c>
      <c r="C30" s="127"/>
      <c r="D30" s="75"/>
      <c r="E30" s="127"/>
      <c r="F30" s="127"/>
    </row>
    <row r="31" spans="1:7" ht="34">
      <c r="A31" s="50" t="s">
        <v>18</v>
      </c>
      <c r="B31" s="58" t="s">
        <v>347</v>
      </c>
      <c r="C31" s="127"/>
      <c r="D31" s="75"/>
      <c r="E31" s="127"/>
      <c r="F31" s="127"/>
    </row>
    <row r="32" spans="1:7" ht="18" thickBot="1">
      <c r="A32" s="50" t="s">
        <v>115</v>
      </c>
      <c r="B32" s="58" t="s">
        <v>197</v>
      </c>
      <c r="C32" s="127"/>
      <c r="D32" s="75"/>
      <c r="E32" s="127"/>
      <c r="F32" s="127"/>
    </row>
    <row r="33" spans="1:8" ht="19">
      <c r="A33" s="98"/>
      <c r="B33" s="99" t="s">
        <v>356</v>
      </c>
      <c r="C33" s="145"/>
      <c r="D33" s="198">
        <f>D25+D26</f>
        <v>6866.7</v>
      </c>
      <c r="E33" s="145">
        <f>E27+E28+E25</f>
        <v>257500.83365467135</v>
      </c>
      <c r="F33" s="128">
        <f>E33/D33</f>
        <v>37.499939367479485</v>
      </c>
    </row>
    <row r="34" spans="1:8" ht="20" thickBot="1">
      <c r="A34" s="101"/>
      <c r="B34" s="102" t="s">
        <v>357</v>
      </c>
      <c r="C34" s="157"/>
      <c r="D34" s="103">
        <v>12</v>
      </c>
      <c r="E34" s="146">
        <f>E33*D34</f>
        <v>3090010.0038560564</v>
      </c>
      <c r="F34" s="129"/>
    </row>
    <row r="35" spans="1:8" s="85" customFormat="1">
      <c r="A35" s="104"/>
      <c r="B35" s="105"/>
      <c r="C35" s="130"/>
      <c r="D35" s="106"/>
      <c r="E35" s="130"/>
      <c r="F35" s="130"/>
    </row>
    <row r="36" spans="1:8" ht="17" thickBot="1">
      <c r="A36" s="234" t="s">
        <v>201</v>
      </c>
      <c r="B36" s="235"/>
      <c r="C36" s="235"/>
      <c r="D36" s="236"/>
      <c r="E36" s="235"/>
      <c r="F36" s="237"/>
    </row>
    <row r="37" spans="1:8" ht="68">
      <c r="A37" s="48" t="s">
        <v>23</v>
      </c>
      <c r="B37" s="49" t="s">
        <v>186</v>
      </c>
      <c r="C37" s="158" t="s">
        <v>187</v>
      </c>
      <c r="D37" s="77" t="s">
        <v>207</v>
      </c>
      <c r="E37" s="131" t="s">
        <v>409</v>
      </c>
      <c r="F37" s="131" t="s">
        <v>408</v>
      </c>
    </row>
    <row r="38" spans="1:8" ht="18" thickBot="1">
      <c r="A38" s="93" t="s">
        <v>72</v>
      </c>
      <c r="B38" s="93">
        <v>2</v>
      </c>
      <c r="C38" s="132">
        <v>3</v>
      </c>
      <c r="D38" s="93">
        <v>4</v>
      </c>
      <c r="E38" s="132">
        <v>5</v>
      </c>
      <c r="F38" s="132">
        <v>6</v>
      </c>
    </row>
    <row r="39" spans="1:8" ht="19">
      <c r="A39" s="98"/>
      <c r="B39" s="99" t="s">
        <v>358</v>
      </c>
      <c r="C39" s="145"/>
      <c r="D39" s="100"/>
      <c r="E39" s="145"/>
      <c r="F39" s="128"/>
    </row>
    <row r="40" spans="1:8" ht="18" customHeight="1">
      <c r="A40" s="116"/>
      <c r="B40" s="108" t="s">
        <v>356</v>
      </c>
      <c r="C40" s="159"/>
      <c r="D40" s="107"/>
      <c r="E40" s="147">
        <f>E41/12</f>
        <v>257500.83365467135</v>
      </c>
      <c r="F40" s="133">
        <f>E41/12/D33</f>
        <v>37.499939367479485</v>
      </c>
      <c r="G40" s="112">
        <f>E33-E40</f>
        <v>0</v>
      </c>
      <c r="H40" s="112"/>
    </row>
    <row r="41" spans="1:8" ht="19" customHeight="1" thickBot="1">
      <c r="A41" s="117"/>
      <c r="B41" s="102" t="s">
        <v>357</v>
      </c>
      <c r="C41" s="146"/>
      <c r="D41" s="102"/>
      <c r="E41" s="146">
        <f>E42+E61+E139+E175+E200+E205</f>
        <v>3090010.0038560564</v>
      </c>
      <c r="F41" s="146">
        <f>F42+F61+F139+F175+F200+F205</f>
        <v>449.99927240975376</v>
      </c>
      <c r="G41" s="112">
        <f>E34-E41</f>
        <v>0</v>
      </c>
    </row>
    <row r="42" spans="1:8" ht="16" customHeight="1">
      <c r="A42" s="212" t="s">
        <v>37</v>
      </c>
      <c r="B42" s="213"/>
      <c r="C42" s="213"/>
      <c r="D42" s="214"/>
      <c r="E42" s="134">
        <f>E43+E55</f>
        <v>98500</v>
      </c>
      <c r="F42" s="134">
        <f>F43+F55</f>
        <v>14.34459056024</v>
      </c>
    </row>
    <row r="43" spans="1:8" ht="17" customHeight="1">
      <c r="A43" s="62" t="s">
        <v>72</v>
      </c>
      <c r="B43" s="63" t="s">
        <v>46</v>
      </c>
      <c r="C43" s="160" t="s">
        <v>205</v>
      </c>
      <c r="D43" s="64"/>
      <c r="E43" s="135">
        <f>SUM(E44:E54)</f>
        <v>2000</v>
      </c>
      <c r="F43" s="135">
        <f>SUM(F44:F54)</f>
        <v>0.29126072203532993</v>
      </c>
    </row>
    <row r="44" spans="1:8" ht="17" hidden="1" outlineLevel="1">
      <c r="A44" s="4" t="s">
        <v>80</v>
      </c>
      <c r="B44" s="5" t="s">
        <v>51</v>
      </c>
      <c r="C44" s="161"/>
      <c r="D44" s="61">
        <v>2</v>
      </c>
      <c r="E44" s="148">
        <v>100</v>
      </c>
      <c r="F44" s="136">
        <f>E44/D$33</f>
        <v>1.4563036101766496E-2</v>
      </c>
    </row>
    <row r="45" spans="1:8" ht="17" hidden="1" outlineLevel="1">
      <c r="A45" s="4" t="s">
        <v>81</v>
      </c>
      <c r="B45" s="5" t="s">
        <v>59</v>
      </c>
      <c r="C45" s="161"/>
      <c r="D45" s="61">
        <v>2</v>
      </c>
      <c r="E45" s="148">
        <f t="shared" ref="E45:E54" si="0">100*D45</f>
        <v>200</v>
      </c>
      <c r="F45" s="136">
        <f t="shared" ref="F45:F60" si="1">E45/D$33</f>
        <v>2.9126072203532992E-2</v>
      </c>
    </row>
    <row r="46" spans="1:8" ht="17" hidden="1" outlineLevel="1">
      <c r="A46" s="4" t="s">
        <v>82</v>
      </c>
      <c r="B46" s="5" t="s">
        <v>52</v>
      </c>
      <c r="C46" s="161"/>
      <c r="D46" s="61">
        <v>2</v>
      </c>
      <c r="E46" s="148">
        <v>100</v>
      </c>
      <c r="F46" s="136">
        <f t="shared" si="1"/>
        <v>1.4563036101766496E-2</v>
      </c>
    </row>
    <row r="47" spans="1:8" ht="17" hidden="1" outlineLevel="1">
      <c r="A47" s="4" t="s">
        <v>83</v>
      </c>
      <c r="B47" s="5" t="s">
        <v>57</v>
      </c>
      <c r="C47" s="161"/>
      <c r="D47" s="61">
        <v>2</v>
      </c>
      <c r="E47" s="148">
        <f t="shared" si="0"/>
        <v>200</v>
      </c>
      <c r="F47" s="136">
        <f t="shared" si="1"/>
        <v>2.9126072203532992E-2</v>
      </c>
    </row>
    <row r="48" spans="1:8" ht="17" hidden="1" outlineLevel="1">
      <c r="A48" s="4" t="s">
        <v>84</v>
      </c>
      <c r="B48" s="5" t="s">
        <v>47</v>
      </c>
      <c r="C48" s="161"/>
      <c r="D48" s="61">
        <v>2</v>
      </c>
      <c r="E48" s="148">
        <f t="shared" si="0"/>
        <v>200</v>
      </c>
      <c r="F48" s="136">
        <f t="shared" si="1"/>
        <v>2.9126072203532992E-2</v>
      </c>
    </row>
    <row r="49" spans="1:6" ht="17" hidden="1" outlineLevel="1">
      <c r="A49" s="4" t="s">
        <v>85</v>
      </c>
      <c r="B49" s="5" t="s">
        <v>48</v>
      </c>
      <c r="C49" s="161"/>
      <c r="D49" s="61">
        <v>2</v>
      </c>
      <c r="E49" s="148">
        <f t="shared" si="0"/>
        <v>200</v>
      </c>
      <c r="F49" s="136">
        <f t="shared" si="1"/>
        <v>2.9126072203532992E-2</v>
      </c>
    </row>
    <row r="50" spans="1:6" ht="17" hidden="1" outlineLevel="1">
      <c r="A50" s="4" t="s">
        <v>86</v>
      </c>
      <c r="B50" s="5" t="s">
        <v>49</v>
      </c>
      <c r="C50" s="161"/>
      <c r="D50" s="61">
        <v>2</v>
      </c>
      <c r="E50" s="148">
        <f t="shared" si="0"/>
        <v>200</v>
      </c>
      <c r="F50" s="136">
        <f t="shared" si="1"/>
        <v>2.9126072203532992E-2</v>
      </c>
    </row>
    <row r="51" spans="1:6" ht="17" hidden="1" outlineLevel="1">
      <c r="A51" s="4" t="s">
        <v>87</v>
      </c>
      <c r="B51" s="5" t="s">
        <v>53</v>
      </c>
      <c r="C51" s="161"/>
      <c r="D51" s="61">
        <v>2</v>
      </c>
      <c r="E51" s="148">
        <f t="shared" si="0"/>
        <v>200</v>
      </c>
      <c r="F51" s="136">
        <f t="shared" si="1"/>
        <v>2.9126072203532992E-2</v>
      </c>
    </row>
    <row r="52" spans="1:6" ht="34" hidden="1" outlineLevel="1">
      <c r="A52" s="4" t="s">
        <v>88</v>
      </c>
      <c r="B52" s="5" t="s">
        <v>55</v>
      </c>
      <c r="C52" s="161"/>
      <c r="D52" s="61">
        <v>2</v>
      </c>
      <c r="E52" s="148">
        <f t="shared" si="0"/>
        <v>200</v>
      </c>
      <c r="F52" s="136">
        <f t="shared" si="1"/>
        <v>2.9126072203532992E-2</v>
      </c>
    </row>
    <row r="53" spans="1:6" ht="68" hidden="1" outlineLevel="1">
      <c r="A53" s="4" t="s">
        <v>89</v>
      </c>
      <c r="B53" s="5" t="s">
        <v>62</v>
      </c>
      <c r="C53" s="161"/>
      <c r="D53" s="61">
        <v>2</v>
      </c>
      <c r="E53" s="148">
        <f t="shared" si="0"/>
        <v>200</v>
      </c>
      <c r="F53" s="136">
        <f t="shared" si="1"/>
        <v>2.9126072203532992E-2</v>
      </c>
    </row>
    <row r="54" spans="1:6" ht="34" hidden="1" outlineLevel="1">
      <c r="A54" s="4" t="s">
        <v>90</v>
      </c>
      <c r="B54" s="5" t="s">
        <v>58</v>
      </c>
      <c r="C54" s="161"/>
      <c r="D54" s="61">
        <v>2</v>
      </c>
      <c r="E54" s="148">
        <f t="shared" si="0"/>
        <v>200</v>
      </c>
      <c r="F54" s="136">
        <f t="shared" si="1"/>
        <v>2.9126072203532992E-2</v>
      </c>
    </row>
    <row r="55" spans="1:6" ht="17" customHeight="1" collapsed="1">
      <c r="A55" s="65" t="s">
        <v>73</v>
      </c>
      <c r="B55" s="63" t="s">
        <v>60</v>
      </c>
      <c r="C55" s="160" t="s">
        <v>205</v>
      </c>
      <c r="D55" s="79"/>
      <c r="E55" s="200">
        <f>SUM(E56:E60)</f>
        <v>96500</v>
      </c>
      <c r="F55" s="200">
        <f>SUM(F56:F60)</f>
        <v>14.05332983820467</v>
      </c>
    </row>
    <row r="56" spans="1:6" ht="51" hidden="1" outlineLevel="1">
      <c r="A56" s="7" t="s">
        <v>99</v>
      </c>
      <c r="B56" s="5" t="s">
        <v>50</v>
      </c>
      <c r="C56" s="162"/>
      <c r="D56" s="218" t="s">
        <v>41</v>
      </c>
      <c r="E56" s="193">
        <v>30000</v>
      </c>
      <c r="F56" s="136">
        <f t="shared" si="1"/>
        <v>4.3689108305299493</v>
      </c>
    </row>
    <row r="57" spans="1:6" ht="17" hidden="1" outlineLevel="1">
      <c r="A57" s="7" t="s">
        <v>100</v>
      </c>
      <c r="B57" s="5" t="s">
        <v>61</v>
      </c>
      <c r="C57" s="162"/>
      <c r="D57" s="219"/>
      <c r="E57" s="189"/>
      <c r="F57" s="136">
        <f t="shared" si="1"/>
        <v>0</v>
      </c>
    </row>
    <row r="58" spans="1:6" ht="51" hidden="1" outlineLevel="1">
      <c r="A58" s="7" t="s">
        <v>101</v>
      </c>
      <c r="B58" s="5" t="s">
        <v>54</v>
      </c>
      <c r="C58" s="162"/>
      <c r="D58" s="219"/>
      <c r="E58" s="189">
        <v>0</v>
      </c>
      <c r="F58" s="136">
        <f t="shared" si="1"/>
        <v>0</v>
      </c>
    </row>
    <row r="59" spans="1:6" ht="68" hidden="1" outlineLevel="1">
      <c r="A59" s="7" t="s">
        <v>102</v>
      </c>
      <c r="B59" s="5" t="s">
        <v>56</v>
      </c>
      <c r="C59" s="162" t="s">
        <v>410</v>
      </c>
      <c r="D59" s="219"/>
      <c r="E59" s="193">
        <v>26500</v>
      </c>
      <c r="F59" s="136">
        <f t="shared" si="1"/>
        <v>3.8592045669681214</v>
      </c>
    </row>
    <row r="60" spans="1:6" ht="51" hidden="1" outlineLevel="1">
      <c r="A60" s="7" t="s">
        <v>260</v>
      </c>
      <c r="B60" s="5" t="s">
        <v>322</v>
      </c>
      <c r="C60" s="162"/>
      <c r="D60" s="220"/>
      <c r="E60" s="193">
        <v>40000</v>
      </c>
      <c r="F60" s="136">
        <f t="shared" si="1"/>
        <v>5.8252144407065991</v>
      </c>
    </row>
    <row r="61" spans="1:6" ht="32" customHeight="1" collapsed="1">
      <c r="A61" s="221" t="s">
        <v>206</v>
      </c>
      <c r="B61" s="221"/>
      <c r="C61" s="221"/>
      <c r="D61" s="221"/>
      <c r="E61" s="137">
        <f>E63+E66+E68+E73+E79+E83+E87+E100+E107+E110+E116+E132+E135+E137</f>
        <v>542252.80000000005</v>
      </c>
      <c r="F61" s="137">
        <f>F63+F66+F68+F73+F79+F83+F87+F100+F107+F110+F116+F132+F135+F137</f>
        <v>78.96847102683968</v>
      </c>
    </row>
    <row r="62" spans="1:6" ht="17">
      <c r="A62" s="50" t="s">
        <v>72</v>
      </c>
      <c r="B62" s="50">
        <v>2</v>
      </c>
      <c r="C62" s="138">
        <v>3</v>
      </c>
      <c r="D62" s="50">
        <v>4</v>
      </c>
      <c r="E62" s="138">
        <v>5</v>
      </c>
      <c r="F62" s="138">
        <v>6</v>
      </c>
    </row>
    <row r="63" spans="1:6" ht="17">
      <c r="A63" s="62" t="s">
        <v>72</v>
      </c>
      <c r="B63" s="63" t="s">
        <v>39</v>
      </c>
      <c r="C63" s="160" t="s">
        <v>205</v>
      </c>
      <c r="D63" s="66" t="s">
        <v>389</v>
      </c>
      <c r="E63" s="139">
        <f>SUM(E64:E65)</f>
        <v>23450.799999999999</v>
      </c>
      <c r="F63" s="139">
        <f>SUM(F64:F65)</f>
        <v>3.4151484701530577</v>
      </c>
    </row>
    <row r="64" spans="1:6" ht="17" hidden="1" outlineLevel="1">
      <c r="A64" s="4" t="s">
        <v>80</v>
      </c>
      <c r="B64" s="5" t="s">
        <v>295</v>
      </c>
      <c r="C64" s="161" t="s">
        <v>261</v>
      </c>
      <c r="D64" s="70">
        <v>2</v>
      </c>
      <c r="E64" s="149">
        <f>200*55*2</f>
        <v>22000</v>
      </c>
      <c r="F64" s="136">
        <f t="shared" ref="F64:F86" si="2">E64/D$33</f>
        <v>3.2038679423886292</v>
      </c>
    </row>
    <row r="65" spans="1:6" ht="34" hidden="1" outlineLevel="1">
      <c r="A65" s="4" t="s">
        <v>81</v>
      </c>
      <c r="B65" s="5" t="s">
        <v>63</v>
      </c>
      <c r="C65" s="161"/>
      <c r="D65" s="8" t="s">
        <v>41</v>
      </c>
      <c r="E65" s="149">
        <v>1450.8</v>
      </c>
      <c r="F65" s="136">
        <f t="shared" si="2"/>
        <v>0.21128052776442832</v>
      </c>
    </row>
    <row r="66" spans="1:6" ht="17" customHeight="1" collapsed="1">
      <c r="A66" s="62" t="s">
        <v>74</v>
      </c>
      <c r="B66" s="63" t="s">
        <v>40</v>
      </c>
      <c r="C66" s="160" t="s">
        <v>205</v>
      </c>
      <c r="D66" s="66" t="s">
        <v>389</v>
      </c>
      <c r="E66" s="135">
        <f>SUM(E67)</f>
        <v>1000</v>
      </c>
      <c r="F66" s="135">
        <f>SUM(F67)</f>
        <v>0.14563036101766497</v>
      </c>
    </row>
    <row r="67" spans="1:6" ht="34" hidden="1" outlineLevel="1">
      <c r="A67" s="4" t="s">
        <v>99</v>
      </c>
      <c r="B67" s="5" t="s">
        <v>64</v>
      </c>
      <c r="C67" s="161"/>
      <c r="D67" s="8" t="s">
        <v>41</v>
      </c>
      <c r="E67" s="136">
        <v>1000</v>
      </c>
      <c r="F67" s="136">
        <f t="shared" si="2"/>
        <v>0.14563036101766497</v>
      </c>
    </row>
    <row r="68" spans="1:6" ht="34" collapsed="1">
      <c r="A68" s="62" t="s">
        <v>75</v>
      </c>
      <c r="B68" s="63" t="s">
        <v>43</v>
      </c>
      <c r="C68" s="160" t="s">
        <v>384</v>
      </c>
      <c r="D68" s="63" t="s">
        <v>338</v>
      </c>
      <c r="E68" s="135">
        <f>SUM(E69:E72)</f>
        <v>114800</v>
      </c>
      <c r="F68" s="135">
        <f>SUM(F69:F72)</f>
        <v>16.718365444827938</v>
      </c>
    </row>
    <row r="69" spans="1:6" ht="85" hidden="1" outlineLevel="1">
      <c r="A69" s="4" t="s">
        <v>91</v>
      </c>
      <c r="B69" s="5" t="s">
        <v>210</v>
      </c>
      <c r="C69" s="161" t="s">
        <v>297</v>
      </c>
      <c r="D69" s="61">
        <f>1*12</f>
        <v>12</v>
      </c>
      <c r="E69" s="222">
        <f>15000/2*D69</f>
        <v>90000</v>
      </c>
      <c r="F69" s="136">
        <f t="shared" si="2"/>
        <v>13.106732491589847</v>
      </c>
    </row>
    <row r="70" spans="1:6" ht="34" hidden="1" outlineLevel="1">
      <c r="A70" s="4" t="s">
        <v>92</v>
      </c>
      <c r="B70" s="5" t="s">
        <v>66</v>
      </c>
      <c r="C70" s="161"/>
      <c r="D70" s="61" t="s">
        <v>41</v>
      </c>
      <c r="E70" s="223"/>
      <c r="F70" s="136">
        <f t="shared" si="2"/>
        <v>0</v>
      </c>
    </row>
    <row r="71" spans="1:6" ht="34" hidden="1" outlineLevel="1">
      <c r="A71" s="4" t="s">
        <v>93</v>
      </c>
      <c r="B71" s="5" t="s">
        <v>163</v>
      </c>
      <c r="C71" s="161" t="s">
        <v>296</v>
      </c>
      <c r="D71" s="61">
        <v>1</v>
      </c>
      <c r="E71" s="83">
        <f>20*1000+2800</f>
        <v>22800</v>
      </c>
      <c r="F71" s="136">
        <f t="shared" si="2"/>
        <v>3.3203722312027613</v>
      </c>
    </row>
    <row r="72" spans="1:6" ht="34" hidden="1" outlineLevel="1">
      <c r="A72" s="4" t="s">
        <v>94</v>
      </c>
      <c r="B72" s="80" t="s">
        <v>316</v>
      </c>
      <c r="C72" s="161"/>
      <c r="D72" s="8" t="s">
        <v>41</v>
      </c>
      <c r="E72" s="84">
        <v>2000</v>
      </c>
      <c r="F72" s="136">
        <f t="shared" si="2"/>
        <v>0.29126072203532993</v>
      </c>
    </row>
    <row r="73" spans="1:6" ht="34" collapsed="1">
      <c r="A73" s="62" t="s">
        <v>18</v>
      </c>
      <c r="B73" s="63" t="s">
        <v>45</v>
      </c>
      <c r="C73" s="160" t="s">
        <v>205</v>
      </c>
      <c r="D73" s="63" t="s">
        <v>338</v>
      </c>
      <c r="E73" s="201">
        <f>SUM(E74:E78)</f>
        <v>0</v>
      </c>
      <c r="F73" s="139">
        <f>SUM(F74:F78)</f>
        <v>0</v>
      </c>
    </row>
    <row r="74" spans="1:6" ht="34" hidden="1" outlineLevel="1">
      <c r="A74" s="4" t="s">
        <v>103</v>
      </c>
      <c r="B74" s="5" t="s">
        <v>211</v>
      </c>
      <c r="C74" s="162"/>
      <c r="D74" s="111" t="s">
        <v>213</v>
      </c>
      <c r="E74" s="150"/>
      <c r="F74" s="136">
        <f t="shared" si="2"/>
        <v>0</v>
      </c>
    </row>
    <row r="75" spans="1:6" ht="51" hidden="1" outlineLevel="1">
      <c r="A75" s="4" t="s">
        <v>104</v>
      </c>
      <c r="B75" s="5" t="s">
        <v>164</v>
      </c>
      <c r="C75" s="162"/>
      <c r="D75" s="8" t="s">
        <v>41</v>
      </c>
      <c r="E75" s="83"/>
      <c r="F75" s="136">
        <f t="shared" si="2"/>
        <v>0</v>
      </c>
    </row>
    <row r="76" spans="1:6" ht="34" hidden="1" outlineLevel="1">
      <c r="A76" s="4" t="s">
        <v>165</v>
      </c>
      <c r="B76" s="5" t="s">
        <v>175</v>
      </c>
      <c r="C76" s="162"/>
      <c r="D76" s="8" t="s">
        <v>41</v>
      </c>
      <c r="E76" s="148"/>
      <c r="F76" s="136">
        <f t="shared" si="2"/>
        <v>0</v>
      </c>
    </row>
    <row r="77" spans="1:6" ht="34" hidden="1" outlineLevel="1">
      <c r="A77" s="4" t="s">
        <v>212</v>
      </c>
      <c r="B77" s="5" t="s">
        <v>65</v>
      </c>
      <c r="C77" s="162"/>
      <c r="D77" s="8" t="s">
        <v>41</v>
      </c>
      <c r="E77" s="148"/>
      <c r="F77" s="136">
        <f t="shared" si="2"/>
        <v>0</v>
      </c>
    </row>
    <row r="78" spans="1:6" ht="34" hidden="1" outlineLevel="1">
      <c r="A78" s="4" t="s">
        <v>318</v>
      </c>
      <c r="B78" s="80" t="s">
        <v>319</v>
      </c>
      <c r="C78" s="162"/>
      <c r="D78" s="8" t="s">
        <v>41</v>
      </c>
      <c r="E78" s="169">
        <v>0</v>
      </c>
      <c r="F78" s="136">
        <f t="shared" si="2"/>
        <v>0</v>
      </c>
    </row>
    <row r="79" spans="1:6" ht="34" collapsed="1">
      <c r="A79" s="62" t="s">
        <v>115</v>
      </c>
      <c r="B79" s="63" t="s">
        <v>209</v>
      </c>
      <c r="C79" s="160" t="s">
        <v>205</v>
      </c>
      <c r="D79" s="63" t="s">
        <v>338</v>
      </c>
      <c r="E79" s="135">
        <f>SUM(E80:E82)</f>
        <v>105000</v>
      </c>
      <c r="F79" s="135">
        <f>SUM(F80:F82)</f>
        <v>15.291187906854821</v>
      </c>
    </row>
    <row r="80" spans="1:6" ht="51" hidden="1" outlineLevel="1">
      <c r="A80" s="4" t="s">
        <v>171</v>
      </c>
      <c r="B80" s="5" t="s">
        <v>176</v>
      </c>
      <c r="C80" s="161" t="s">
        <v>297</v>
      </c>
      <c r="D80" s="61">
        <v>12</v>
      </c>
      <c r="E80" s="222">
        <f>15000/2*D80</f>
        <v>90000</v>
      </c>
      <c r="F80" s="136">
        <f t="shared" si="2"/>
        <v>13.106732491589847</v>
      </c>
    </row>
    <row r="81" spans="1:6" ht="17" hidden="1" outlineLevel="1">
      <c r="A81" s="4" t="s">
        <v>173</v>
      </c>
      <c r="B81" s="5" t="s">
        <v>166</v>
      </c>
      <c r="C81" s="161"/>
      <c r="D81" s="61">
        <v>12</v>
      </c>
      <c r="E81" s="223"/>
      <c r="F81" s="136">
        <f t="shared" si="2"/>
        <v>0</v>
      </c>
    </row>
    <row r="82" spans="1:6" ht="34" hidden="1" outlineLevel="1">
      <c r="A82" s="4" t="s">
        <v>172</v>
      </c>
      <c r="B82" s="5" t="s">
        <v>170</v>
      </c>
      <c r="C82" s="161"/>
      <c r="D82" s="8" t="s">
        <v>41</v>
      </c>
      <c r="E82" s="136">
        <v>15000</v>
      </c>
      <c r="F82" s="136">
        <f>E82/D$33</f>
        <v>2.1844554152649747</v>
      </c>
    </row>
    <row r="83" spans="1:6" ht="34" collapsed="1">
      <c r="A83" s="62" t="s">
        <v>13</v>
      </c>
      <c r="B83" s="63" t="s">
        <v>67</v>
      </c>
      <c r="C83" s="160" t="s">
        <v>205</v>
      </c>
      <c r="D83" s="63" t="s">
        <v>338</v>
      </c>
      <c r="E83" s="200">
        <f>SUM(E84:E86)</f>
        <v>5000</v>
      </c>
      <c r="F83" s="135">
        <f>SUM(F84:F86)</f>
        <v>0.72815180508832489</v>
      </c>
    </row>
    <row r="84" spans="1:6" ht="34" hidden="1" customHeight="1" outlineLevel="1">
      <c r="A84" s="4" t="s">
        <v>105</v>
      </c>
      <c r="B84" s="5" t="s">
        <v>68</v>
      </c>
      <c r="C84" s="163"/>
      <c r="D84" s="8" t="s">
        <v>41</v>
      </c>
      <c r="E84" s="150"/>
      <c r="F84" s="136">
        <f t="shared" si="2"/>
        <v>0</v>
      </c>
    </row>
    <row r="85" spans="1:6" ht="34" hidden="1" outlineLevel="1">
      <c r="A85" s="4" t="s">
        <v>106</v>
      </c>
      <c r="B85" s="5" t="s">
        <v>169</v>
      </c>
      <c r="C85" s="161"/>
      <c r="D85" s="8" t="s">
        <v>41</v>
      </c>
      <c r="E85" s="148"/>
      <c r="F85" s="136">
        <f t="shared" si="2"/>
        <v>0</v>
      </c>
    </row>
    <row r="86" spans="1:6" ht="34" hidden="1" outlineLevel="1">
      <c r="A86" s="4" t="s">
        <v>174</v>
      </c>
      <c r="B86" s="5" t="s">
        <v>167</v>
      </c>
      <c r="C86" s="161"/>
      <c r="D86" s="61">
        <v>12</v>
      </c>
      <c r="E86" s="169">
        <v>5000</v>
      </c>
      <c r="F86" s="136">
        <f t="shared" si="2"/>
        <v>0.72815180508832489</v>
      </c>
    </row>
    <row r="87" spans="1:6" ht="34" collapsed="1">
      <c r="A87" s="62" t="s">
        <v>9</v>
      </c>
      <c r="B87" s="63" t="s">
        <v>113</v>
      </c>
      <c r="C87" s="164" t="s">
        <v>385</v>
      </c>
      <c r="D87" s="63" t="s">
        <v>338</v>
      </c>
      <c r="E87" s="135">
        <f>SUM(E88:E99)</f>
        <v>79000</v>
      </c>
      <c r="F87" s="135">
        <f>SUM(F88:F99)</f>
        <v>11.504798520395534</v>
      </c>
    </row>
    <row r="88" spans="1:6" ht="51" hidden="1" outlineLevel="1">
      <c r="A88" s="4" t="s">
        <v>107</v>
      </c>
      <c r="B88" s="5" t="s">
        <v>224</v>
      </c>
      <c r="C88" s="161" t="s">
        <v>298</v>
      </c>
      <c r="D88" s="61">
        <v>2</v>
      </c>
      <c r="E88" s="222">
        <f>6000*D89</f>
        <v>72000</v>
      </c>
      <c r="F88" s="136">
        <f t="shared" ref="F88:F99" si="3">E88/D$33</f>
        <v>10.485385993271878</v>
      </c>
    </row>
    <row r="89" spans="1:6" ht="17" hidden="1" outlineLevel="1">
      <c r="A89" s="4" t="s">
        <v>108</v>
      </c>
      <c r="B89" s="5" t="s">
        <v>8</v>
      </c>
      <c r="C89" s="161"/>
      <c r="D89" s="61">
        <v>12</v>
      </c>
      <c r="E89" s="239"/>
      <c r="F89" s="136">
        <f t="shared" si="3"/>
        <v>0</v>
      </c>
    </row>
    <row r="90" spans="1:6" ht="17" hidden="1" outlineLevel="1">
      <c r="A90" s="4" t="s">
        <v>109</v>
      </c>
      <c r="B90" s="5" t="s">
        <v>179</v>
      </c>
      <c r="C90" s="161"/>
      <c r="D90" s="61">
        <v>12</v>
      </c>
      <c r="E90" s="239"/>
      <c r="F90" s="136">
        <f t="shared" si="3"/>
        <v>0</v>
      </c>
    </row>
    <row r="91" spans="1:6" ht="17" hidden="1" outlineLevel="1">
      <c r="A91" s="4" t="s">
        <v>110</v>
      </c>
      <c r="B91" s="5" t="s">
        <v>218</v>
      </c>
      <c r="C91" s="161"/>
      <c r="D91" s="61">
        <v>12</v>
      </c>
      <c r="E91" s="239"/>
      <c r="F91" s="136">
        <f t="shared" si="3"/>
        <v>0</v>
      </c>
    </row>
    <row r="92" spans="1:6" ht="17" hidden="1" outlineLevel="1">
      <c r="A92" s="4" t="s">
        <v>214</v>
      </c>
      <c r="B92" s="5" t="s">
        <v>222</v>
      </c>
      <c r="C92" s="161"/>
      <c r="D92" s="61">
        <v>12</v>
      </c>
      <c r="E92" s="239"/>
      <c r="F92" s="136">
        <f t="shared" si="3"/>
        <v>0</v>
      </c>
    </row>
    <row r="93" spans="1:6" ht="34" hidden="1" outlineLevel="1">
      <c r="A93" s="4" t="s">
        <v>215</v>
      </c>
      <c r="B93" s="5" t="s">
        <v>225</v>
      </c>
      <c r="C93" s="161"/>
      <c r="D93" s="61" t="s">
        <v>226</v>
      </c>
      <c r="E93" s="239"/>
      <c r="F93" s="136">
        <f t="shared" si="3"/>
        <v>0</v>
      </c>
    </row>
    <row r="94" spans="1:6" ht="34" hidden="1" outlineLevel="1">
      <c r="A94" s="4" t="s">
        <v>216</v>
      </c>
      <c r="B94" s="5" t="s">
        <v>227</v>
      </c>
      <c r="C94" s="161"/>
      <c r="D94" s="78">
        <v>12</v>
      </c>
      <c r="E94" s="239"/>
      <c r="F94" s="136">
        <f t="shared" si="3"/>
        <v>0</v>
      </c>
    </row>
    <row r="95" spans="1:6" ht="17" hidden="1" outlineLevel="1">
      <c r="A95" s="4" t="s">
        <v>217</v>
      </c>
      <c r="B95" s="5" t="s">
        <v>228</v>
      </c>
      <c r="C95" s="161"/>
      <c r="D95" s="61">
        <v>12</v>
      </c>
      <c r="E95" s="239"/>
      <c r="F95" s="136">
        <f t="shared" si="3"/>
        <v>0</v>
      </c>
    </row>
    <row r="96" spans="1:6" ht="17" hidden="1" outlineLevel="1">
      <c r="A96" s="4" t="s">
        <v>229</v>
      </c>
      <c r="B96" s="5" t="s">
        <v>230</v>
      </c>
      <c r="C96" s="161"/>
      <c r="D96" s="61">
        <v>12</v>
      </c>
      <c r="E96" s="239"/>
      <c r="F96" s="136">
        <f t="shared" si="3"/>
        <v>0</v>
      </c>
    </row>
    <row r="97" spans="1:6" ht="34" hidden="1" outlineLevel="1">
      <c r="A97" s="4" t="s">
        <v>231</v>
      </c>
      <c r="B97" s="5" t="s">
        <v>232</v>
      </c>
      <c r="C97" s="161"/>
      <c r="D97" s="61" t="s">
        <v>226</v>
      </c>
      <c r="E97" s="223"/>
      <c r="F97" s="136">
        <f t="shared" si="3"/>
        <v>0</v>
      </c>
    </row>
    <row r="98" spans="1:6" s="89" customFormat="1" ht="51" hidden="1" outlineLevel="1">
      <c r="A98" s="91" t="s">
        <v>313</v>
      </c>
      <c r="B98" s="80" t="s">
        <v>314</v>
      </c>
      <c r="C98" s="165"/>
      <c r="D98" s="88"/>
      <c r="E98" s="169">
        <v>5000</v>
      </c>
      <c r="F98" s="136">
        <f t="shared" si="3"/>
        <v>0.72815180508832489</v>
      </c>
    </row>
    <row r="99" spans="1:6" s="89" customFormat="1" ht="17" hidden="1" outlineLevel="1">
      <c r="A99" s="91" t="s">
        <v>315</v>
      </c>
      <c r="B99" s="80" t="s">
        <v>316</v>
      </c>
      <c r="C99" s="165"/>
      <c r="D99" s="88"/>
      <c r="E99" s="169">
        <v>2000</v>
      </c>
      <c r="F99" s="136">
        <f t="shared" si="3"/>
        <v>0.29126072203532993</v>
      </c>
    </row>
    <row r="100" spans="1:6" ht="34" collapsed="1">
      <c r="A100" s="62" t="s">
        <v>7</v>
      </c>
      <c r="B100" s="63" t="s">
        <v>44</v>
      </c>
      <c r="C100" s="164" t="s">
        <v>205</v>
      </c>
      <c r="D100" s="63" t="s">
        <v>338</v>
      </c>
      <c r="E100" s="200">
        <f>SUM(E101:E106)</f>
        <v>35920</v>
      </c>
      <c r="F100" s="135">
        <f>SUM(F101:F106)</f>
        <v>5.2310425677545265</v>
      </c>
    </row>
    <row r="101" spans="1:6" ht="34" hidden="1" outlineLevel="1">
      <c r="A101" s="4" t="s">
        <v>111</v>
      </c>
      <c r="B101" s="5" t="s">
        <v>69</v>
      </c>
      <c r="C101" s="161"/>
      <c r="D101" s="46" t="s">
        <v>41</v>
      </c>
      <c r="E101" s="136">
        <v>2000</v>
      </c>
      <c r="F101" s="136">
        <f t="shared" ref="F101:F106" si="4">E101/D$33</f>
        <v>0.29126072203532993</v>
      </c>
    </row>
    <row r="102" spans="1:6" ht="102" hidden="1" outlineLevel="1">
      <c r="A102" s="4" t="s">
        <v>112</v>
      </c>
      <c r="B102" s="5" t="s">
        <v>219</v>
      </c>
      <c r="C102" s="161"/>
      <c r="D102" s="46" t="s">
        <v>41</v>
      </c>
      <c r="E102" s="136"/>
      <c r="F102" s="136">
        <f t="shared" si="4"/>
        <v>0</v>
      </c>
    </row>
    <row r="103" spans="1:6" ht="34" hidden="1" outlineLevel="1">
      <c r="A103" s="4" t="s">
        <v>233</v>
      </c>
      <c r="B103" s="5" t="s">
        <v>220</v>
      </c>
      <c r="C103" s="161"/>
      <c r="D103" s="61" t="s">
        <v>41</v>
      </c>
      <c r="E103" s="136">
        <v>4000</v>
      </c>
      <c r="F103" s="136">
        <f t="shared" si="4"/>
        <v>0.58252144407065987</v>
      </c>
    </row>
    <row r="104" spans="1:6" ht="34" hidden="1" outlineLevel="1">
      <c r="A104" s="4" t="s">
        <v>234</v>
      </c>
      <c r="B104" s="5" t="s">
        <v>221</v>
      </c>
      <c r="C104" s="161"/>
      <c r="D104" s="61" t="s">
        <v>41</v>
      </c>
      <c r="E104" s="136">
        <v>2000</v>
      </c>
      <c r="F104" s="136">
        <f t="shared" si="4"/>
        <v>0.29126072203532993</v>
      </c>
    </row>
    <row r="105" spans="1:6" ht="34" hidden="1" outlineLevel="1">
      <c r="A105" s="4" t="s">
        <v>235</v>
      </c>
      <c r="B105" s="5" t="s">
        <v>223</v>
      </c>
      <c r="C105" s="161"/>
      <c r="D105" s="46" t="s">
        <v>41</v>
      </c>
      <c r="E105" s="150"/>
      <c r="F105" s="136">
        <f t="shared" si="4"/>
        <v>0</v>
      </c>
    </row>
    <row r="106" spans="1:6" s="89" customFormat="1" ht="17" hidden="1" outlineLevel="1">
      <c r="A106" s="4" t="s">
        <v>278</v>
      </c>
      <c r="B106" s="87" t="s">
        <v>277</v>
      </c>
      <c r="C106" s="165" t="s">
        <v>279</v>
      </c>
      <c r="D106" s="109" t="s">
        <v>276</v>
      </c>
      <c r="E106" s="84">
        <v>27920</v>
      </c>
      <c r="F106" s="136">
        <f t="shared" si="4"/>
        <v>4.0659996796132063</v>
      </c>
    </row>
    <row r="107" spans="1:6" ht="17" collapsed="1">
      <c r="A107" s="62" t="s">
        <v>6</v>
      </c>
      <c r="B107" s="63" t="s">
        <v>42</v>
      </c>
      <c r="C107" s="164" t="s">
        <v>302</v>
      </c>
      <c r="D107" s="66" t="s">
        <v>389</v>
      </c>
      <c r="E107" s="135">
        <f>SUM(E108:E109)</f>
        <v>22732</v>
      </c>
      <c r="F107" s="135">
        <f>SUM(F108:F109)</f>
        <v>3.3104693666535603</v>
      </c>
    </row>
    <row r="108" spans="1:6" ht="17" hidden="1" outlineLevel="1">
      <c r="A108" s="4" t="s">
        <v>178</v>
      </c>
      <c r="B108" s="5" t="s">
        <v>236</v>
      </c>
      <c r="C108" s="161" t="s">
        <v>237</v>
      </c>
      <c r="D108" s="61">
        <v>1</v>
      </c>
      <c r="E108" s="136">
        <v>15732</v>
      </c>
      <c r="F108" s="136">
        <f t="shared" ref="F108:F109" si="5">E108/D$33</f>
        <v>2.2910568395299054</v>
      </c>
    </row>
    <row r="109" spans="1:6" s="89" customFormat="1" ht="34" hidden="1" outlineLevel="1">
      <c r="A109" s="91" t="s">
        <v>390</v>
      </c>
      <c r="B109" s="80" t="s">
        <v>391</v>
      </c>
      <c r="C109" s="165"/>
      <c r="D109" s="88"/>
      <c r="E109" s="169">
        <v>7000</v>
      </c>
      <c r="F109" s="136">
        <f t="shared" si="5"/>
        <v>1.0194125271236547</v>
      </c>
    </row>
    <row r="110" spans="1:6" ht="17" collapsed="1">
      <c r="A110" s="67" t="s">
        <v>5</v>
      </c>
      <c r="B110" s="68" t="s">
        <v>1</v>
      </c>
      <c r="C110" s="164" t="s">
        <v>303</v>
      </c>
      <c r="D110" s="69" t="s">
        <v>389</v>
      </c>
      <c r="E110" s="135">
        <f>SUM(E111:E115)</f>
        <v>29600</v>
      </c>
      <c r="F110" s="135">
        <f>SUM(F111:F115)</f>
        <v>4.3106586861228831</v>
      </c>
    </row>
    <row r="111" spans="1:6" ht="17" hidden="1" outlineLevel="1">
      <c r="A111" s="9" t="s">
        <v>4</v>
      </c>
      <c r="B111" s="10" t="s">
        <v>177</v>
      </c>
      <c r="C111" s="161" t="s">
        <v>252</v>
      </c>
      <c r="D111" s="61">
        <v>1</v>
      </c>
      <c r="E111" s="83">
        <v>1100</v>
      </c>
      <c r="F111" s="136">
        <f t="shared" ref="F111:F115" si="6">E111/D$33</f>
        <v>0.16019339711943145</v>
      </c>
    </row>
    <row r="112" spans="1:6" ht="17" hidden="1" outlineLevel="1">
      <c r="A112" s="9" t="s">
        <v>3</v>
      </c>
      <c r="B112" s="10" t="s">
        <v>0</v>
      </c>
      <c r="C112" s="161" t="s">
        <v>252</v>
      </c>
      <c r="D112" s="8" t="s">
        <v>71</v>
      </c>
      <c r="E112" s="83">
        <f>2*7000</f>
        <v>14000</v>
      </c>
      <c r="F112" s="136">
        <f t="shared" si="6"/>
        <v>2.0388250542473094</v>
      </c>
    </row>
    <row r="113" spans="1:6" ht="17" hidden="1" outlineLevel="1">
      <c r="A113" s="9" t="s">
        <v>168</v>
      </c>
      <c r="B113" s="10" t="s">
        <v>251</v>
      </c>
      <c r="C113" s="161" t="s">
        <v>252</v>
      </c>
      <c r="D113" s="61">
        <v>1</v>
      </c>
      <c r="E113" s="84">
        <v>12000</v>
      </c>
      <c r="F113" s="136">
        <f t="shared" si="6"/>
        <v>1.7475643322119796</v>
      </c>
    </row>
    <row r="114" spans="1:6" s="89" customFormat="1" ht="17" hidden="1" outlineLevel="1">
      <c r="A114" s="9" t="s">
        <v>275</v>
      </c>
      <c r="B114" s="87" t="s">
        <v>277</v>
      </c>
      <c r="C114" s="165" t="s">
        <v>414</v>
      </c>
      <c r="D114" s="109" t="s">
        <v>276</v>
      </c>
      <c r="E114" s="84">
        <v>0</v>
      </c>
      <c r="F114" s="136">
        <f t="shared" si="6"/>
        <v>0</v>
      </c>
    </row>
    <row r="115" spans="1:6" s="89" customFormat="1" ht="17" hidden="1" outlineLevel="1">
      <c r="A115" s="86" t="s">
        <v>280</v>
      </c>
      <c r="B115" s="87" t="s">
        <v>411</v>
      </c>
      <c r="C115" s="165"/>
      <c r="D115" s="88"/>
      <c r="E115" s="84">
        <v>2500</v>
      </c>
      <c r="F115" s="136">
        <f t="shared" si="6"/>
        <v>0.36407590254416244</v>
      </c>
    </row>
    <row r="116" spans="1:6" ht="34" collapsed="1">
      <c r="A116" s="67" t="s">
        <v>76</v>
      </c>
      <c r="B116" s="68" t="s">
        <v>267</v>
      </c>
      <c r="C116" s="164" t="s">
        <v>304</v>
      </c>
      <c r="D116" s="69" t="s">
        <v>338</v>
      </c>
      <c r="E116" s="135">
        <f>SUM(E117:E131)</f>
        <v>75550</v>
      </c>
      <c r="F116" s="135">
        <f>SUM(F117:F131)</f>
        <v>11.002373774884589</v>
      </c>
    </row>
    <row r="117" spans="1:6" ht="51" hidden="1" outlineLevel="1">
      <c r="A117" s="9" t="s">
        <v>2</v>
      </c>
      <c r="B117" s="10" t="s">
        <v>398</v>
      </c>
      <c r="C117" s="161" t="s">
        <v>299</v>
      </c>
      <c r="D117" s="61">
        <v>12</v>
      </c>
      <c r="E117" s="222">
        <f>3500*D117</f>
        <v>42000</v>
      </c>
      <c r="F117" s="136">
        <f t="shared" ref="F117:F138" si="7">E117/D$33</f>
        <v>6.1164751627419287</v>
      </c>
    </row>
    <row r="118" spans="1:6" ht="17" hidden="1" outlineLevel="1">
      <c r="A118" s="9" t="s">
        <v>118</v>
      </c>
      <c r="B118" s="10" t="s">
        <v>262</v>
      </c>
      <c r="C118" s="161"/>
      <c r="D118" s="61">
        <v>12</v>
      </c>
      <c r="E118" s="239"/>
      <c r="F118" s="136">
        <f t="shared" si="7"/>
        <v>0</v>
      </c>
    </row>
    <row r="119" spans="1:6" ht="51" hidden="1" outlineLevel="1">
      <c r="A119" s="9" t="s">
        <v>263</v>
      </c>
      <c r="B119" s="10" t="s">
        <v>265</v>
      </c>
      <c r="C119" s="161"/>
      <c r="D119" s="61">
        <v>12</v>
      </c>
      <c r="E119" s="239"/>
      <c r="F119" s="136">
        <f t="shared" si="7"/>
        <v>0</v>
      </c>
    </row>
    <row r="120" spans="1:6" ht="17" hidden="1" outlineLevel="1">
      <c r="A120" s="9" t="s">
        <v>264</v>
      </c>
      <c r="B120" s="10" t="s">
        <v>266</v>
      </c>
      <c r="C120" s="161"/>
      <c r="D120" s="61">
        <v>12</v>
      </c>
      <c r="E120" s="223"/>
      <c r="F120" s="136">
        <f t="shared" si="7"/>
        <v>0</v>
      </c>
    </row>
    <row r="121" spans="1:6" s="89" customFormat="1" ht="34" hidden="1" outlineLevel="1">
      <c r="A121" s="86" t="s">
        <v>268</v>
      </c>
      <c r="B121" s="87" t="s">
        <v>269</v>
      </c>
      <c r="C121" s="165"/>
      <c r="D121" s="88" t="s">
        <v>41</v>
      </c>
      <c r="E121" s="84">
        <v>5000</v>
      </c>
      <c r="F121" s="169">
        <f t="shared" si="7"/>
        <v>0.72815180508832489</v>
      </c>
    </row>
    <row r="122" spans="1:6" s="89" customFormat="1" ht="17" hidden="1" outlineLevel="1">
      <c r="A122" s="9" t="s">
        <v>270</v>
      </c>
      <c r="B122" s="80" t="s">
        <v>413</v>
      </c>
      <c r="C122" s="82" t="s">
        <v>412</v>
      </c>
      <c r="D122" s="88" t="s">
        <v>271</v>
      </c>
      <c r="E122" s="151"/>
      <c r="F122" s="136">
        <f t="shared" si="7"/>
        <v>0</v>
      </c>
    </row>
    <row r="123" spans="1:6" ht="34" hidden="1" outlineLevel="1">
      <c r="A123" s="9" t="s">
        <v>272</v>
      </c>
      <c r="B123" s="5" t="s">
        <v>287</v>
      </c>
      <c r="C123" s="166"/>
      <c r="D123" s="61" t="s">
        <v>288</v>
      </c>
      <c r="E123" s="138"/>
      <c r="F123" s="136">
        <f t="shared" si="7"/>
        <v>0</v>
      </c>
    </row>
    <row r="124" spans="1:6" ht="34" hidden="1" outlineLevel="1">
      <c r="A124" s="9" t="s">
        <v>273</v>
      </c>
      <c r="B124" s="5" t="s">
        <v>287</v>
      </c>
      <c r="C124" s="166"/>
      <c r="D124" s="61" t="s">
        <v>289</v>
      </c>
      <c r="E124" s="138"/>
      <c r="F124" s="136">
        <f t="shared" si="7"/>
        <v>0</v>
      </c>
    </row>
    <row r="125" spans="1:6" s="89" customFormat="1" ht="17" hidden="1" outlineLevel="1">
      <c r="A125" s="9" t="s">
        <v>274</v>
      </c>
      <c r="B125" s="80" t="s">
        <v>399</v>
      </c>
      <c r="C125" s="167">
        <f>14*2+1+1+1</f>
        <v>31</v>
      </c>
      <c r="D125" s="88">
        <v>1</v>
      </c>
      <c r="E125" s="84">
        <f>250*C125</f>
        <v>7750</v>
      </c>
      <c r="F125" s="136">
        <f t="shared" si="7"/>
        <v>1.1286352978869034</v>
      </c>
    </row>
    <row r="126" spans="1:6" s="89" customFormat="1" ht="17" hidden="1" outlineLevel="1">
      <c r="A126" s="9" t="s">
        <v>281</v>
      </c>
      <c r="B126" s="80" t="s">
        <v>395</v>
      </c>
      <c r="C126" s="167">
        <v>2</v>
      </c>
      <c r="D126" s="88">
        <v>1</v>
      </c>
      <c r="E126" s="84">
        <f>(450+550)*C126</f>
        <v>2000</v>
      </c>
      <c r="F126" s="136">
        <f t="shared" si="7"/>
        <v>0.29126072203532993</v>
      </c>
    </row>
    <row r="127" spans="1:6" s="89" customFormat="1" ht="17" hidden="1" outlineLevel="1">
      <c r="A127" s="9" t="s">
        <v>285</v>
      </c>
      <c r="B127" s="80" t="s">
        <v>293</v>
      </c>
      <c r="C127" s="167">
        <f>14*2+1+1+1</f>
        <v>31</v>
      </c>
      <c r="D127" s="88" t="s">
        <v>300</v>
      </c>
      <c r="E127" s="151"/>
      <c r="F127" s="136">
        <f t="shared" si="7"/>
        <v>0</v>
      </c>
    </row>
    <row r="128" spans="1:6" ht="17" hidden="1" outlineLevel="1">
      <c r="A128" s="9" t="s">
        <v>286</v>
      </c>
      <c r="B128" s="10" t="s">
        <v>282</v>
      </c>
      <c r="C128" s="166">
        <v>16</v>
      </c>
      <c r="D128" s="61">
        <v>1</v>
      </c>
      <c r="E128" s="83">
        <f>500*C128</f>
        <v>8000</v>
      </c>
      <c r="F128" s="136">
        <f t="shared" si="7"/>
        <v>1.1650428881413197</v>
      </c>
    </row>
    <row r="129" spans="1:6" ht="17" hidden="1" outlineLevel="1">
      <c r="A129" s="9" t="s">
        <v>290</v>
      </c>
      <c r="B129" s="10" t="s">
        <v>283</v>
      </c>
      <c r="C129" s="166">
        <v>16</v>
      </c>
      <c r="D129" s="61">
        <v>1</v>
      </c>
      <c r="E129" s="83">
        <f>500*C129</f>
        <v>8000</v>
      </c>
      <c r="F129" s="136">
        <f t="shared" si="7"/>
        <v>1.1650428881413197</v>
      </c>
    </row>
    <row r="130" spans="1:6" ht="34" hidden="1" outlineLevel="1">
      <c r="A130" s="9" t="s">
        <v>292</v>
      </c>
      <c r="B130" s="10" t="s">
        <v>284</v>
      </c>
      <c r="C130" s="166">
        <v>2</v>
      </c>
      <c r="D130" s="61">
        <v>1</v>
      </c>
      <c r="E130" s="83">
        <v>300</v>
      </c>
      <c r="F130" s="136">
        <f t="shared" si="7"/>
        <v>4.3689108305299491E-2</v>
      </c>
    </row>
    <row r="131" spans="1:6" s="89" customFormat="1" ht="17" hidden="1" outlineLevel="1">
      <c r="A131" s="9" t="s">
        <v>294</v>
      </c>
      <c r="B131" s="87" t="s">
        <v>291</v>
      </c>
      <c r="C131" s="167">
        <v>1</v>
      </c>
      <c r="D131" s="88">
        <v>1</v>
      </c>
      <c r="E131" s="84">
        <v>2500</v>
      </c>
      <c r="F131" s="136">
        <f t="shared" si="7"/>
        <v>0.36407590254416244</v>
      </c>
    </row>
    <row r="132" spans="1:6" ht="17" collapsed="1">
      <c r="A132" s="67" t="s">
        <v>77</v>
      </c>
      <c r="B132" s="68" t="s">
        <v>374</v>
      </c>
      <c r="C132" s="164" t="s">
        <v>305</v>
      </c>
      <c r="D132" s="90">
        <v>12</v>
      </c>
      <c r="E132" s="135">
        <f>SUM(E133:E134)</f>
        <v>13200</v>
      </c>
      <c r="F132" s="135">
        <f>SUM(F133:F134)</f>
        <v>1.9223207654331775</v>
      </c>
    </row>
    <row r="133" spans="1:6" ht="17" hidden="1" outlineLevel="1">
      <c r="A133" s="4" t="s">
        <v>370</v>
      </c>
      <c r="B133" s="5" t="s">
        <v>371</v>
      </c>
      <c r="C133" s="81">
        <v>100</v>
      </c>
      <c r="D133" s="61">
        <v>12</v>
      </c>
      <c r="E133" s="83">
        <f>C133*D133</f>
        <v>1200</v>
      </c>
      <c r="F133" s="136">
        <f t="shared" si="7"/>
        <v>0.17475643322119797</v>
      </c>
    </row>
    <row r="134" spans="1:6" ht="17" hidden="1" outlineLevel="1">
      <c r="A134" s="4" t="s">
        <v>372</v>
      </c>
      <c r="B134" s="5" t="s">
        <v>373</v>
      </c>
      <c r="C134" s="81">
        <v>1000</v>
      </c>
      <c r="D134" s="61">
        <v>12</v>
      </c>
      <c r="E134" s="83">
        <f>C134*D134</f>
        <v>12000</v>
      </c>
      <c r="F134" s="136">
        <f t="shared" si="7"/>
        <v>1.7475643322119796</v>
      </c>
    </row>
    <row r="135" spans="1:6" ht="34" collapsed="1">
      <c r="A135" s="67" t="s">
        <v>78</v>
      </c>
      <c r="B135" s="68" t="s">
        <v>306</v>
      </c>
      <c r="C135" s="164" t="s">
        <v>355</v>
      </c>
      <c r="D135" s="110" t="s">
        <v>41</v>
      </c>
      <c r="E135" s="135">
        <f>E136</f>
        <v>7000</v>
      </c>
      <c r="F135" s="135">
        <f>F136</f>
        <v>1.0194125271236547</v>
      </c>
    </row>
    <row r="136" spans="1:6" s="89" customFormat="1" ht="34" hidden="1" outlineLevel="1">
      <c r="A136" s="91" t="s">
        <v>320</v>
      </c>
      <c r="B136" s="80" t="s">
        <v>324</v>
      </c>
      <c r="C136" s="82"/>
      <c r="D136" s="61" t="s">
        <v>41</v>
      </c>
      <c r="E136" s="84">
        <v>7000</v>
      </c>
      <c r="F136" s="136">
        <f t="shared" si="7"/>
        <v>1.0194125271236547</v>
      </c>
    </row>
    <row r="137" spans="1:6" ht="17" collapsed="1">
      <c r="A137" s="67" t="s">
        <v>119</v>
      </c>
      <c r="B137" s="68" t="s">
        <v>307</v>
      </c>
      <c r="C137" s="164"/>
      <c r="D137" s="66" t="s">
        <v>389</v>
      </c>
      <c r="E137" s="135">
        <f>E138</f>
        <v>30000</v>
      </c>
      <c r="F137" s="135">
        <f>F138</f>
        <v>4.3689108305299493</v>
      </c>
    </row>
    <row r="138" spans="1:6" s="89" customFormat="1" ht="34" hidden="1" outlineLevel="1">
      <c r="A138" s="91" t="s">
        <v>321</v>
      </c>
      <c r="B138" s="80" t="s">
        <v>407</v>
      </c>
      <c r="C138" s="82"/>
      <c r="D138" s="61" t="s">
        <v>41</v>
      </c>
      <c r="E138" s="84">
        <v>30000</v>
      </c>
      <c r="F138" s="136">
        <f t="shared" si="7"/>
        <v>4.3689108305299493</v>
      </c>
    </row>
    <row r="139" spans="1:6" ht="16" customHeight="1" collapsed="1">
      <c r="A139" s="238" t="s">
        <v>38</v>
      </c>
      <c r="B139" s="238"/>
      <c r="C139" s="238"/>
      <c r="D139" s="238"/>
      <c r="E139" s="137">
        <f>E141+E159+E161+E171</f>
        <v>228036</v>
      </c>
      <c r="F139" s="137">
        <f>F141+F159+F161+F171</f>
        <v>33.208965005024247</v>
      </c>
    </row>
    <row r="140" spans="1:6" ht="17">
      <c r="A140" s="50" t="s">
        <v>72</v>
      </c>
      <c r="B140" s="50">
        <v>2</v>
      </c>
      <c r="C140" s="138">
        <v>3</v>
      </c>
      <c r="D140" s="50">
        <v>4</v>
      </c>
      <c r="E140" s="138">
        <v>5</v>
      </c>
      <c r="F140" s="138">
        <v>6</v>
      </c>
    </row>
    <row r="141" spans="1:6" ht="34">
      <c r="A141" s="62" t="s">
        <v>72</v>
      </c>
      <c r="B141" s="63" t="s">
        <v>301</v>
      </c>
      <c r="C141" s="164" t="s">
        <v>19</v>
      </c>
      <c r="D141" s="45" t="s">
        <v>359</v>
      </c>
      <c r="E141" s="135">
        <f>SUM(E142:E158)</f>
        <v>57360</v>
      </c>
      <c r="F141" s="135">
        <f>SUM(F142:F158)</f>
        <v>8.3533575079732625</v>
      </c>
    </row>
    <row r="142" spans="1:6" ht="34" hidden="1" outlineLevel="1">
      <c r="A142" s="4" t="s">
        <v>80</v>
      </c>
      <c r="B142" s="5" t="s">
        <v>238</v>
      </c>
      <c r="C142" s="81" t="s">
        <v>21</v>
      </c>
      <c r="D142" s="61">
        <f>5*4*12</f>
        <v>240</v>
      </c>
      <c r="E142" s="83"/>
      <c r="F142" s="136">
        <f t="shared" ref="F142:F158" si="8">E142/D$33</f>
        <v>0</v>
      </c>
    </row>
    <row r="143" spans="1:6" ht="34" hidden="1" outlineLevel="1">
      <c r="A143" s="4" t="s">
        <v>81</v>
      </c>
      <c r="B143" s="5" t="s">
        <v>239</v>
      </c>
      <c r="C143" s="81" t="s">
        <v>21</v>
      </c>
      <c r="D143" s="61">
        <f>5*4*12</f>
        <v>240</v>
      </c>
      <c r="E143" s="83"/>
      <c r="F143" s="136">
        <f t="shared" si="8"/>
        <v>0</v>
      </c>
    </row>
    <row r="144" spans="1:6" ht="34" hidden="1" outlineLevel="1">
      <c r="A144" s="4" t="s">
        <v>82</v>
      </c>
      <c r="B144" s="5" t="s">
        <v>240</v>
      </c>
      <c r="C144" s="81" t="s">
        <v>20</v>
      </c>
      <c r="D144" s="61">
        <v>1</v>
      </c>
      <c r="E144" s="83"/>
      <c r="F144" s="136">
        <f t="shared" si="8"/>
        <v>0</v>
      </c>
    </row>
    <row r="145" spans="1:6" ht="34" hidden="1" outlineLevel="1">
      <c r="A145" s="4" t="s">
        <v>83</v>
      </c>
      <c r="B145" s="5" t="s">
        <v>241</v>
      </c>
      <c r="C145" s="81" t="s">
        <v>20</v>
      </c>
      <c r="D145" s="61">
        <f>2*4*12</f>
        <v>96</v>
      </c>
      <c r="E145" s="83"/>
      <c r="F145" s="136">
        <f t="shared" si="8"/>
        <v>0</v>
      </c>
    </row>
    <row r="146" spans="1:6" ht="17" hidden="1" outlineLevel="1">
      <c r="A146" s="4" t="s">
        <v>84</v>
      </c>
      <c r="B146" s="5" t="s">
        <v>242</v>
      </c>
      <c r="C146" s="161" t="s">
        <v>114</v>
      </c>
      <c r="D146" s="61">
        <f t="shared" ref="D146:D147" si="9">5*4*12</f>
        <v>240</v>
      </c>
      <c r="E146" s="83"/>
      <c r="F146" s="136">
        <f t="shared" si="8"/>
        <v>0</v>
      </c>
    </row>
    <row r="147" spans="1:6" ht="17" hidden="1" outlineLevel="1">
      <c r="A147" s="4" t="s">
        <v>85</v>
      </c>
      <c r="B147" s="5" t="s">
        <v>243</v>
      </c>
      <c r="C147" s="161" t="s">
        <v>114</v>
      </c>
      <c r="D147" s="61">
        <f t="shared" si="9"/>
        <v>240</v>
      </c>
      <c r="E147" s="83"/>
      <c r="F147" s="136">
        <f t="shared" si="8"/>
        <v>0</v>
      </c>
    </row>
    <row r="148" spans="1:6" ht="34" hidden="1" outlineLevel="1">
      <c r="A148" s="4" t="s">
        <v>86</v>
      </c>
      <c r="B148" s="5" t="s">
        <v>244</v>
      </c>
      <c r="C148" s="161" t="s">
        <v>114</v>
      </c>
      <c r="D148" s="61">
        <f>2*4*12</f>
        <v>96</v>
      </c>
      <c r="E148" s="83"/>
      <c r="F148" s="136">
        <f t="shared" si="8"/>
        <v>0</v>
      </c>
    </row>
    <row r="149" spans="1:6" ht="51" hidden="1" outlineLevel="1">
      <c r="A149" s="4" t="s">
        <v>87</v>
      </c>
      <c r="B149" s="5" t="s">
        <v>245</v>
      </c>
      <c r="C149" s="81" t="s">
        <v>19</v>
      </c>
      <c r="D149" s="61">
        <v>2</v>
      </c>
      <c r="E149" s="83"/>
      <c r="F149" s="136">
        <f t="shared" si="8"/>
        <v>0</v>
      </c>
    </row>
    <row r="150" spans="1:6" ht="17" hidden="1" outlineLevel="1">
      <c r="A150" s="4" t="s">
        <v>88</v>
      </c>
      <c r="B150" s="5" t="s">
        <v>246</v>
      </c>
      <c r="C150" s="81" t="s">
        <v>19</v>
      </c>
      <c r="D150" s="61">
        <v>12</v>
      </c>
      <c r="E150" s="83"/>
      <c r="F150" s="136">
        <f t="shared" si="8"/>
        <v>0</v>
      </c>
    </row>
    <row r="151" spans="1:6" ht="17" hidden="1" outlineLevel="1">
      <c r="A151" s="4" t="s">
        <v>89</v>
      </c>
      <c r="B151" s="5" t="s">
        <v>247</v>
      </c>
      <c r="C151" s="81" t="s">
        <v>19</v>
      </c>
      <c r="D151" s="61">
        <v>12</v>
      </c>
      <c r="E151" s="83"/>
      <c r="F151" s="136">
        <f t="shared" si="8"/>
        <v>0</v>
      </c>
    </row>
    <row r="152" spans="1:6" ht="34" hidden="1" outlineLevel="1">
      <c r="A152" s="4" t="s">
        <v>90</v>
      </c>
      <c r="B152" s="5" t="s">
        <v>248</v>
      </c>
      <c r="C152" s="81" t="s">
        <v>19</v>
      </c>
      <c r="D152" s="61">
        <v>4</v>
      </c>
      <c r="E152" s="83"/>
      <c r="F152" s="136">
        <f t="shared" si="8"/>
        <v>0</v>
      </c>
    </row>
    <row r="153" spans="1:6" ht="17" hidden="1" outlineLevel="1">
      <c r="A153" s="4" t="s">
        <v>98</v>
      </c>
      <c r="B153" s="5" t="s">
        <v>249</v>
      </c>
      <c r="C153" s="81" t="s">
        <v>19</v>
      </c>
      <c r="D153" s="61">
        <v>1</v>
      </c>
      <c r="E153" s="83"/>
      <c r="F153" s="136">
        <f t="shared" si="8"/>
        <v>0</v>
      </c>
    </row>
    <row r="154" spans="1:6" ht="17" hidden="1" outlineLevel="1">
      <c r="A154" s="4" t="s">
        <v>180</v>
      </c>
      <c r="B154" s="5" t="s">
        <v>250</v>
      </c>
      <c r="C154" s="81" t="s">
        <v>19</v>
      </c>
      <c r="D154" s="61">
        <v>12</v>
      </c>
      <c r="E154" s="83"/>
      <c r="F154" s="136">
        <f t="shared" si="8"/>
        <v>0</v>
      </c>
    </row>
    <row r="155" spans="1:6" ht="17" hidden="1" outlineLevel="1">
      <c r="A155" s="4" t="s">
        <v>181</v>
      </c>
      <c r="B155" s="5" t="s">
        <v>369</v>
      </c>
      <c r="C155" s="81">
        <v>55</v>
      </c>
      <c r="D155" s="61">
        <v>1</v>
      </c>
      <c r="E155" s="83">
        <f>C155*912</f>
        <v>50160</v>
      </c>
      <c r="F155" s="136">
        <f t="shared" si="8"/>
        <v>7.3048189086460749</v>
      </c>
    </row>
    <row r="156" spans="1:6" s="89" customFormat="1" ht="34" hidden="1" outlineLevel="1">
      <c r="A156" s="91" t="s">
        <v>311</v>
      </c>
      <c r="B156" s="80" t="s">
        <v>386</v>
      </c>
      <c r="C156" s="82">
        <v>300</v>
      </c>
      <c r="D156" s="88">
        <v>12</v>
      </c>
      <c r="E156" s="83">
        <f>C156*D156</f>
        <v>3600</v>
      </c>
      <c r="F156" s="136">
        <f t="shared" si="8"/>
        <v>0.52426929966359392</v>
      </c>
    </row>
    <row r="157" spans="1:6" s="190" customFormat="1" ht="17" hidden="1" outlineLevel="1">
      <c r="A157" s="91" t="s">
        <v>317</v>
      </c>
      <c r="B157" s="80" t="s">
        <v>375</v>
      </c>
      <c r="C157" s="82"/>
      <c r="D157" s="88"/>
      <c r="E157" s="83"/>
      <c r="F157" s="136">
        <f t="shared" si="8"/>
        <v>0</v>
      </c>
    </row>
    <row r="158" spans="1:6" ht="34" hidden="1" outlineLevel="1">
      <c r="A158" s="91"/>
      <c r="B158" s="80" t="s">
        <v>349</v>
      </c>
      <c r="C158" s="82">
        <v>300</v>
      </c>
      <c r="D158" s="88">
        <v>12</v>
      </c>
      <c r="E158" s="83">
        <f>C158*D158</f>
        <v>3600</v>
      </c>
      <c r="F158" s="136">
        <f t="shared" si="8"/>
        <v>0.52426929966359392</v>
      </c>
    </row>
    <row r="159" spans="1:6" ht="17" collapsed="1">
      <c r="A159" s="62" t="s">
        <v>73</v>
      </c>
      <c r="B159" s="63" t="s">
        <v>16</v>
      </c>
      <c r="C159" s="139"/>
      <c r="D159" s="63" t="s">
        <v>70</v>
      </c>
      <c r="E159" s="135">
        <f>E160</f>
        <v>3600</v>
      </c>
      <c r="F159" s="135">
        <f>F160</f>
        <v>0.52426929966359392</v>
      </c>
    </row>
    <row r="160" spans="1:6" s="89" customFormat="1" ht="51" hidden="1" outlineLevel="1">
      <c r="A160" s="91" t="s">
        <v>22</v>
      </c>
      <c r="B160" s="80" t="s">
        <v>15</v>
      </c>
      <c r="C160" s="82" t="s">
        <v>14</v>
      </c>
      <c r="D160" s="92" t="s">
        <v>70</v>
      </c>
      <c r="E160" s="84">
        <f>3600</f>
        <v>3600</v>
      </c>
      <c r="F160" s="136">
        <f t="shared" ref="F160" si="10">E160/D$33</f>
        <v>0.52426929966359392</v>
      </c>
    </row>
    <row r="161" spans="1:7" ht="34" collapsed="1">
      <c r="A161" s="62">
        <v>3</v>
      </c>
      <c r="B161" s="63" t="s">
        <v>360</v>
      </c>
      <c r="C161" s="139" t="s">
        <v>376</v>
      </c>
      <c r="D161" s="66" t="s">
        <v>338</v>
      </c>
      <c r="E161" s="135">
        <f>SUM(E162:E170)</f>
        <v>167076</v>
      </c>
      <c r="F161" s="135">
        <f>SUM(F162:F170)</f>
        <v>24.331338197387392</v>
      </c>
    </row>
    <row r="162" spans="1:7" ht="17" hidden="1" outlineLevel="1">
      <c r="A162" s="4" t="s">
        <v>91</v>
      </c>
      <c r="B162" s="5" t="s">
        <v>377</v>
      </c>
      <c r="C162" s="161">
        <v>20</v>
      </c>
      <c r="D162" s="61">
        <f>5*12</f>
        <v>60</v>
      </c>
      <c r="E162" s="83">
        <f>G162*C162*D162</f>
        <v>76800</v>
      </c>
      <c r="F162" s="136">
        <f t="shared" ref="F162:F170" si="11">E162/D$33</f>
        <v>11.18441172615667</v>
      </c>
      <c r="G162" s="3">
        <v>64</v>
      </c>
    </row>
    <row r="163" spans="1:7" ht="17" hidden="1" outlineLevel="1">
      <c r="A163" s="4" t="s">
        <v>92</v>
      </c>
      <c r="B163" s="5" t="s">
        <v>378</v>
      </c>
      <c r="C163" s="161">
        <v>9</v>
      </c>
      <c r="D163" s="61">
        <v>12</v>
      </c>
      <c r="E163" s="83">
        <f t="shared" ref="E163:E167" si="12">G163*C163*D163</f>
        <v>9720</v>
      </c>
      <c r="F163" s="136">
        <f t="shared" si="11"/>
        <v>1.4155271090917034</v>
      </c>
      <c r="G163" s="3">
        <v>90</v>
      </c>
    </row>
    <row r="164" spans="1:7" ht="17" hidden="1" outlineLevel="1">
      <c r="A164" s="4" t="s">
        <v>93</v>
      </c>
      <c r="B164" s="5" t="s">
        <v>379</v>
      </c>
      <c r="C164" s="161">
        <v>2</v>
      </c>
      <c r="D164" s="61">
        <f>3*12</f>
        <v>36</v>
      </c>
      <c r="E164" s="83">
        <f t="shared" si="12"/>
        <v>4608</v>
      </c>
      <c r="F164" s="136">
        <f t="shared" si="11"/>
        <v>0.67106470356940018</v>
      </c>
      <c r="G164" s="3">
        <v>64</v>
      </c>
    </row>
    <row r="165" spans="1:7" s="184" customFormat="1" ht="17" hidden="1" outlineLevel="1">
      <c r="A165" s="4" t="s">
        <v>94</v>
      </c>
      <c r="B165" s="5" t="s">
        <v>380</v>
      </c>
      <c r="C165" s="161">
        <v>10</v>
      </c>
      <c r="D165" s="61">
        <f>2*12</f>
        <v>24</v>
      </c>
      <c r="E165" s="183">
        <f>106*12</f>
        <v>1272</v>
      </c>
      <c r="F165" s="136">
        <f t="shared" si="11"/>
        <v>0.18524181921446983</v>
      </c>
      <c r="G165" s="184">
        <v>64</v>
      </c>
    </row>
    <row r="166" spans="1:7" ht="17" hidden="1" outlineLevel="1">
      <c r="A166" s="4" t="s">
        <v>95</v>
      </c>
      <c r="B166" s="5" t="s">
        <v>381</v>
      </c>
      <c r="C166" s="161">
        <v>10</v>
      </c>
      <c r="D166" s="61">
        <v>12</v>
      </c>
      <c r="E166" s="83">
        <f t="shared" si="12"/>
        <v>7680</v>
      </c>
      <c r="F166" s="136">
        <f t="shared" si="11"/>
        <v>1.1184411726156669</v>
      </c>
      <c r="G166" s="3">
        <v>64</v>
      </c>
    </row>
    <row r="167" spans="1:7" ht="17" hidden="1" outlineLevel="1">
      <c r="A167" s="4" t="s">
        <v>96</v>
      </c>
      <c r="B167" s="5" t="s">
        <v>382</v>
      </c>
      <c r="C167" s="161">
        <v>3</v>
      </c>
      <c r="D167" s="61">
        <f>4*12</f>
        <v>48</v>
      </c>
      <c r="E167" s="83">
        <f t="shared" si="12"/>
        <v>9216</v>
      </c>
      <c r="F167" s="136">
        <f t="shared" si="11"/>
        <v>1.3421294071388004</v>
      </c>
      <c r="G167" s="3">
        <v>64</v>
      </c>
    </row>
    <row r="168" spans="1:7" ht="17" hidden="1" outlineLevel="1">
      <c r="A168" s="4" t="s">
        <v>97</v>
      </c>
      <c r="B168" s="5" t="s">
        <v>383</v>
      </c>
      <c r="C168" s="161">
        <v>150</v>
      </c>
      <c r="D168" s="61">
        <f>26*12</f>
        <v>312</v>
      </c>
      <c r="E168" s="83">
        <f>C168*D168</f>
        <v>46800</v>
      </c>
      <c r="F168" s="136">
        <f t="shared" si="11"/>
        <v>6.8155008956267205</v>
      </c>
    </row>
    <row r="169" spans="1:7" s="89" customFormat="1" ht="34" hidden="1" outlineLevel="1">
      <c r="A169" s="91" t="s">
        <v>308</v>
      </c>
      <c r="B169" s="80" t="s">
        <v>310</v>
      </c>
      <c r="C169" s="165">
        <f>830</f>
        <v>830</v>
      </c>
      <c r="D169" s="88">
        <v>6</v>
      </c>
      <c r="E169" s="84">
        <f>C169*D169</f>
        <v>4980</v>
      </c>
      <c r="F169" s="169">
        <f t="shared" si="11"/>
        <v>0.72523919786797153</v>
      </c>
    </row>
    <row r="170" spans="1:7" s="89" customFormat="1" ht="34" hidden="1" outlineLevel="1">
      <c r="A170" s="91" t="s">
        <v>309</v>
      </c>
      <c r="B170" s="80" t="s">
        <v>312</v>
      </c>
      <c r="C170" s="165">
        <v>500</v>
      </c>
      <c r="D170" s="88">
        <v>12</v>
      </c>
      <c r="E170" s="84">
        <f>C170*D170</f>
        <v>6000</v>
      </c>
      <c r="F170" s="169">
        <f t="shared" si="11"/>
        <v>0.8737821661059898</v>
      </c>
    </row>
    <row r="171" spans="1:7" ht="51" collapsed="1">
      <c r="A171" s="62" t="s">
        <v>18</v>
      </c>
      <c r="B171" s="71" t="s">
        <v>116</v>
      </c>
      <c r="C171" s="160" t="s">
        <v>213</v>
      </c>
      <c r="D171" s="72" t="s">
        <v>362</v>
      </c>
      <c r="E171" s="135">
        <f>SUM(E172:E174)</f>
        <v>0</v>
      </c>
      <c r="F171" s="135">
        <f>SUM(F172:F174)</f>
        <v>0</v>
      </c>
    </row>
    <row r="172" spans="1:7" ht="17" hidden="1" outlineLevel="1">
      <c r="A172" s="4" t="s">
        <v>103</v>
      </c>
      <c r="B172" s="11" t="s">
        <v>12</v>
      </c>
      <c r="C172" s="163" t="s">
        <v>205</v>
      </c>
      <c r="D172" s="111" t="s">
        <v>213</v>
      </c>
      <c r="E172" s="81"/>
      <c r="F172" s="136">
        <f t="shared" ref="F172:F174" si="13">E172/D$33</f>
        <v>0</v>
      </c>
    </row>
    <row r="173" spans="1:7" ht="17" hidden="1" outlineLevel="1">
      <c r="A173" s="113" t="s">
        <v>104</v>
      </c>
      <c r="B173" s="114" t="s">
        <v>11</v>
      </c>
      <c r="C173" s="168" t="s">
        <v>205</v>
      </c>
      <c r="D173" s="115" t="s">
        <v>213</v>
      </c>
      <c r="E173" s="152"/>
      <c r="F173" s="136">
        <f t="shared" si="13"/>
        <v>0</v>
      </c>
    </row>
    <row r="174" spans="1:7" ht="17" hidden="1" outlineLevel="1">
      <c r="A174" s="4" t="s">
        <v>165</v>
      </c>
      <c r="B174" s="11" t="s">
        <v>10</v>
      </c>
      <c r="C174" s="163" t="s">
        <v>205</v>
      </c>
      <c r="D174" s="111" t="s">
        <v>213</v>
      </c>
      <c r="E174" s="153"/>
      <c r="F174" s="136">
        <f t="shared" si="13"/>
        <v>0</v>
      </c>
    </row>
    <row r="175" spans="1:7" ht="16" customHeight="1" collapsed="1">
      <c r="A175" s="240" t="s">
        <v>117</v>
      </c>
      <c r="B175" s="240"/>
      <c r="C175" s="240"/>
      <c r="D175" s="240"/>
      <c r="E175" s="140">
        <f>E177+E182+E187+E193+E195</f>
        <v>2080593.6938560561</v>
      </c>
      <c r="F175" s="140">
        <f>F177+F182+F187+F193+F195</f>
        <v>302.99761076733455</v>
      </c>
    </row>
    <row r="176" spans="1:7" ht="17">
      <c r="A176" s="50" t="s">
        <v>72</v>
      </c>
      <c r="B176" s="50">
        <v>2</v>
      </c>
      <c r="C176" s="138">
        <v>3</v>
      </c>
      <c r="D176" s="50">
        <v>4</v>
      </c>
      <c r="E176" s="138">
        <v>5</v>
      </c>
      <c r="F176" s="138">
        <v>6</v>
      </c>
      <c r="G176" s="3" t="s">
        <v>352</v>
      </c>
    </row>
    <row r="177" spans="1:7" ht="17">
      <c r="A177" s="62" t="s">
        <v>72</v>
      </c>
      <c r="B177" s="63" t="s">
        <v>363</v>
      </c>
      <c r="C177" s="135">
        <f>SUM(C178:C181)</f>
        <v>113300</v>
      </c>
      <c r="D177" s="45"/>
      <c r="E177" s="135">
        <f>SUM(E178:E181)</f>
        <v>1359600</v>
      </c>
      <c r="F177" s="135">
        <f>SUM(F178:F181)</f>
        <v>197.9990388396173</v>
      </c>
      <c r="G177" s="59">
        <f>G181+G182</f>
        <v>79300</v>
      </c>
    </row>
    <row r="178" spans="1:7" ht="17" hidden="1" outlineLevel="1">
      <c r="A178" s="4" t="s">
        <v>254</v>
      </c>
      <c r="B178" s="5" t="s">
        <v>350</v>
      </c>
      <c r="C178" s="177">
        <v>35000</v>
      </c>
      <c r="D178" s="61">
        <v>12</v>
      </c>
      <c r="E178" s="83">
        <f>C178*D178</f>
        <v>420000</v>
      </c>
      <c r="F178" s="136">
        <f>E178/D$33</f>
        <v>61.164751627419285</v>
      </c>
      <c r="G178" s="3">
        <v>20374</v>
      </c>
    </row>
    <row r="179" spans="1:7" ht="17" hidden="1" outlineLevel="1">
      <c r="A179" s="4" t="s">
        <v>255</v>
      </c>
      <c r="B179" s="5" t="s">
        <v>354</v>
      </c>
      <c r="C179" s="177">
        <f>15000*3</f>
        <v>45000</v>
      </c>
      <c r="D179" s="78">
        <v>12</v>
      </c>
      <c r="E179" s="83">
        <f>C179*D179</f>
        <v>540000</v>
      </c>
      <c r="F179" s="136">
        <f t="shared" ref="F179:F185" si="14">E179/D$33</f>
        <v>78.640394949539086</v>
      </c>
      <c r="G179" s="3">
        <f>11310*3</f>
        <v>33930</v>
      </c>
    </row>
    <row r="180" spans="1:7" ht="17" hidden="1" outlineLevel="1">
      <c r="A180" s="4" t="s">
        <v>256</v>
      </c>
      <c r="B180" s="5" t="s">
        <v>351</v>
      </c>
      <c r="C180" s="177">
        <v>18300</v>
      </c>
      <c r="D180" s="61">
        <v>12</v>
      </c>
      <c r="E180" s="83">
        <f>C180*D180</f>
        <v>219600</v>
      </c>
      <c r="F180" s="136">
        <f t="shared" si="14"/>
        <v>31.980427279479226</v>
      </c>
      <c r="G180" s="3">
        <v>15051</v>
      </c>
    </row>
    <row r="181" spans="1:7" ht="17" hidden="1" outlineLevel="1">
      <c r="A181" s="4" t="s">
        <v>259</v>
      </c>
      <c r="B181" s="5" t="s">
        <v>353</v>
      </c>
      <c r="C181" s="177">
        <v>15000</v>
      </c>
      <c r="D181" s="61">
        <v>12</v>
      </c>
      <c r="E181" s="83">
        <f>C181*D181</f>
        <v>180000</v>
      </c>
      <c r="F181" s="136">
        <f t="shared" si="14"/>
        <v>26.213464983179694</v>
      </c>
      <c r="G181" s="59">
        <f>SUM(G178:G180)</f>
        <v>69355</v>
      </c>
    </row>
    <row r="182" spans="1:7" ht="17" collapsed="1">
      <c r="A182" s="62" t="s">
        <v>73</v>
      </c>
      <c r="B182" s="63" t="s">
        <v>333</v>
      </c>
      <c r="C182" s="135">
        <f>C177*30.2%</f>
        <v>34216.6</v>
      </c>
      <c r="D182" s="45"/>
      <c r="E182" s="135">
        <f>E177*30.2%</f>
        <v>410599.2</v>
      </c>
      <c r="F182" s="135">
        <f>SUM(F183:F186)</f>
        <v>59.795709729564422</v>
      </c>
      <c r="G182" s="96">
        <v>9945</v>
      </c>
    </row>
    <row r="183" spans="1:7" ht="17" hidden="1" outlineLevel="1">
      <c r="A183" s="4" t="s">
        <v>22</v>
      </c>
      <c r="B183" s="5" t="s">
        <v>328</v>
      </c>
      <c r="C183" s="83">
        <f>C177*G183</f>
        <v>24926</v>
      </c>
      <c r="D183" s="61">
        <v>12</v>
      </c>
      <c r="E183" s="83">
        <f>C183*D183</f>
        <v>299112</v>
      </c>
      <c r="F183" s="136">
        <f t="shared" si="14"/>
        <v>43.559788544715801</v>
      </c>
      <c r="G183" s="95">
        <v>0.22</v>
      </c>
    </row>
    <row r="184" spans="1:7" ht="17" hidden="1" outlineLevel="1">
      <c r="A184" s="4" t="s">
        <v>325</v>
      </c>
      <c r="B184" s="5" t="s">
        <v>329</v>
      </c>
      <c r="C184" s="83">
        <f>C177*G184</f>
        <v>5778.2999999999993</v>
      </c>
      <c r="D184" s="61">
        <v>12</v>
      </c>
      <c r="E184" s="83">
        <f>C184*D184</f>
        <v>69339.599999999991</v>
      </c>
      <c r="F184" s="136">
        <f t="shared" si="14"/>
        <v>10.09795098082048</v>
      </c>
      <c r="G184" s="95">
        <v>5.0999999999999997E-2</v>
      </c>
    </row>
    <row r="185" spans="1:7" ht="17" hidden="1" outlineLevel="1">
      <c r="A185" s="4" t="s">
        <v>326</v>
      </c>
      <c r="B185" s="5" t="s">
        <v>330</v>
      </c>
      <c r="C185" s="83">
        <f>C177*G185</f>
        <v>3285.7000000000003</v>
      </c>
      <c r="D185" s="61">
        <v>12</v>
      </c>
      <c r="E185" s="83">
        <f>C185*D185</f>
        <v>39428.400000000001</v>
      </c>
      <c r="F185" s="136">
        <f t="shared" si="14"/>
        <v>5.7419721263489016</v>
      </c>
      <c r="G185" s="95">
        <v>2.9000000000000001E-2</v>
      </c>
    </row>
    <row r="186" spans="1:7" ht="17" hidden="1" outlineLevel="1">
      <c r="A186" s="4" t="s">
        <v>327</v>
      </c>
      <c r="B186" s="5" t="s">
        <v>331</v>
      </c>
      <c r="C186" s="83">
        <f>C177*G186</f>
        <v>226.6</v>
      </c>
      <c r="D186" s="61">
        <v>12</v>
      </c>
      <c r="E186" s="83">
        <f>C186*D186</f>
        <v>2719.2</v>
      </c>
      <c r="F186" s="136">
        <f>E186/D$33</f>
        <v>0.39599807767923456</v>
      </c>
      <c r="G186" s="95">
        <v>2E-3</v>
      </c>
    </row>
    <row r="187" spans="1:7" ht="34" collapsed="1">
      <c r="A187" s="178" t="s">
        <v>75</v>
      </c>
      <c r="B187" s="179" t="s">
        <v>402</v>
      </c>
      <c r="C187" s="180" t="s">
        <v>388</v>
      </c>
      <c r="D187" s="181"/>
      <c r="E187" s="135">
        <f>SUM(E188:E192)</f>
        <v>177494.49385605616</v>
      </c>
      <c r="F187" s="182">
        <f>SUM(F188:F192)</f>
        <v>25.848587218905173</v>
      </c>
    </row>
    <row r="188" spans="1:7" s="89" customFormat="1" ht="17" hidden="1" outlineLevel="1">
      <c r="A188" s="91" t="s">
        <v>364</v>
      </c>
      <c r="B188" s="80" t="s">
        <v>403</v>
      </c>
      <c r="C188" s="169"/>
      <c r="D188" s="88"/>
      <c r="E188" s="84">
        <f>E177/12/(29.3+4.88)*28</f>
        <v>92814.511410181382</v>
      </c>
      <c r="F188" s="169">
        <f>E188/D$33</f>
        <v>13.516610804342898</v>
      </c>
      <c r="G188" s="118"/>
    </row>
    <row r="189" spans="1:7" s="89" customFormat="1" ht="17" hidden="1" outlineLevel="1">
      <c r="A189" s="91" t="s">
        <v>393</v>
      </c>
      <c r="B189" s="80" t="s">
        <v>406</v>
      </c>
      <c r="C189" s="169"/>
      <c r="D189" s="88"/>
      <c r="E189" s="84">
        <f>E188*30.2%</f>
        <v>28029.982445874775</v>
      </c>
      <c r="F189" s="169">
        <f>E189/D$33</f>
        <v>4.0820164629115556</v>
      </c>
      <c r="G189" s="118"/>
    </row>
    <row r="190" spans="1:7" ht="17" hidden="1" outlineLevel="1">
      <c r="A190" s="91" t="s">
        <v>364</v>
      </c>
      <c r="B190" s="172" t="s">
        <v>367</v>
      </c>
      <c r="C190" s="176">
        <f>C177*50%</f>
        <v>56650</v>
      </c>
      <c r="D190" s="174"/>
      <c r="E190" s="176">
        <f>C190</f>
        <v>56650</v>
      </c>
      <c r="F190" s="176">
        <f>E190/D$33</f>
        <v>8.2499599516507196</v>
      </c>
      <c r="G190" s="95"/>
    </row>
    <row r="191" spans="1:7" s="89" customFormat="1" ht="17" hidden="1" outlineLevel="1">
      <c r="A191" s="91" t="s">
        <v>364</v>
      </c>
      <c r="B191" s="80" t="s">
        <v>394</v>
      </c>
      <c r="C191" s="169"/>
      <c r="D191" s="88"/>
      <c r="E191" s="84">
        <f>C191*D191</f>
        <v>0</v>
      </c>
      <c r="F191" s="169">
        <f>E191/D$33</f>
        <v>0</v>
      </c>
      <c r="G191" s="118"/>
    </row>
    <row r="192" spans="1:7" s="89" customFormat="1" ht="17" hidden="1" outlineLevel="1">
      <c r="A192" s="91" t="s">
        <v>364</v>
      </c>
      <c r="B192" s="80" t="s">
        <v>405</v>
      </c>
      <c r="C192" s="169"/>
      <c r="D192" s="88"/>
      <c r="E192" s="84">
        <f>C192*D192</f>
        <v>0</v>
      </c>
      <c r="F192" s="169">
        <f>E192/D$33</f>
        <v>0</v>
      </c>
      <c r="G192" s="118"/>
    </row>
    <row r="193" spans="1:6" ht="34" collapsed="1">
      <c r="A193" s="62" t="s">
        <v>18</v>
      </c>
      <c r="B193" s="63" t="s">
        <v>323</v>
      </c>
      <c r="C193" s="164" t="s">
        <v>387</v>
      </c>
      <c r="D193" s="164" t="s">
        <v>338</v>
      </c>
      <c r="E193" s="135">
        <f>SUM(E194)</f>
        <v>120000</v>
      </c>
      <c r="F193" s="135">
        <f>SUM(F194)</f>
        <v>17.475643322119797</v>
      </c>
    </row>
    <row r="194" spans="1:6" ht="17" hidden="1" outlineLevel="1">
      <c r="A194" s="4" t="s">
        <v>17</v>
      </c>
      <c r="B194" s="5" t="s">
        <v>334</v>
      </c>
      <c r="C194" s="161"/>
      <c r="D194" s="61">
        <v>12</v>
      </c>
      <c r="E194" s="83">
        <f>10000*D194</f>
        <v>120000</v>
      </c>
      <c r="F194" s="136">
        <f t="shared" ref="F194:F199" si="15">E194/D$33</f>
        <v>17.475643322119797</v>
      </c>
    </row>
    <row r="195" spans="1:6" ht="17" collapsed="1">
      <c r="A195" s="62" t="s">
        <v>115</v>
      </c>
      <c r="B195" s="63" t="s">
        <v>339</v>
      </c>
      <c r="C195" s="164"/>
      <c r="D195" s="45"/>
      <c r="E195" s="135">
        <f>SUM(E196:E199)</f>
        <v>12900</v>
      </c>
      <c r="F195" s="135">
        <f>SUM(F196:F199)</f>
        <v>1.8786316571278781</v>
      </c>
    </row>
    <row r="196" spans="1:6" ht="34" hidden="1" outlineLevel="1">
      <c r="A196" s="4" t="s">
        <v>171</v>
      </c>
      <c r="B196" s="5" t="s">
        <v>340</v>
      </c>
      <c r="C196" s="161"/>
      <c r="D196" s="174">
        <v>12</v>
      </c>
      <c r="E196" s="175">
        <f>600*12</f>
        <v>7200</v>
      </c>
      <c r="F196" s="136">
        <f t="shared" si="15"/>
        <v>1.0485385993271878</v>
      </c>
    </row>
    <row r="197" spans="1:6" s="89" customFormat="1" ht="17" hidden="1" outlineLevel="1">
      <c r="A197" s="91" t="s">
        <v>172</v>
      </c>
      <c r="B197" s="80" t="s">
        <v>368</v>
      </c>
      <c r="C197" s="165"/>
      <c r="D197" s="88" t="s">
        <v>276</v>
      </c>
      <c r="E197" s="154"/>
      <c r="F197" s="136">
        <f t="shared" si="15"/>
        <v>0</v>
      </c>
    </row>
    <row r="198" spans="1:6" ht="17" hidden="1" outlineLevel="1">
      <c r="A198" s="171" t="s">
        <v>173</v>
      </c>
      <c r="B198" s="172" t="s">
        <v>341</v>
      </c>
      <c r="C198" s="173"/>
      <c r="D198" s="174">
        <v>12</v>
      </c>
      <c r="E198" s="175">
        <f>100*12+1500</f>
        <v>2700</v>
      </c>
      <c r="F198" s="176">
        <f t="shared" si="15"/>
        <v>0.39320197474769542</v>
      </c>
    </row>
    <row r="199" spans="1:6" s="89" customFormat="1" ht="34" hidden="1" outlineLevel="1">
      <c r="A199" s="91" t="s">
        <v>342</v>
      </c>
      <c r="B199" s="80" t="s">
        <v>404</v>
      </c>
      <c r="C199" s="165"/>
      <c r="D199" s="88" t="s">
        <v>41</v>
      </c>
      <c r="E199" s="154">
        <v>3000</v>
      </c>
      <c r="F199" s="136">
        <f t="shared" si="15"/>
        <v>0.4368910830529949</v>
      </c>
    </row>
    <row r="200" spans="1:6" ht="16" customHeight="1" collapsed="1">
      <c r="A200" s="238" t="s">
        <v>346</v>
      </c>
      <c r="B200" s="238"/>
      <c r="C200" s="238"/>
      <c r="D200" s="238"/>
      <c r="E200" s="137">
        <f>E201</f>
        <v>68159.51999999999</v>
      </c>
      <c r="F200" s="141">
        <f>F201</f>
        <v>9.9260955043907551</v>
      </c>
    </row>
    <row r="201" spans="1:6" ht="34">
      <c r="A201" s="62"/>
      <c r="B201" s="63" t="s">
        <v>401</v>
      </c>
      <c r="C201" s="164" t="s">
        <v>366</v>
      </c>
      <c r="D201" s="45"/>
      <c r="E201" s="135">
        <f>SUM(E202:E204)</f>
        <v>68159.51999999999</v>
      </c>
      <c r="F201" s="135">
        <f>SUM(F202:F204)</f>
        <v>9.9260955043907551</v>
      </c>
    </row>
    <row r="202" spans="1:6" ht="17" hidden="1" outlineLevel="1">
      <c r="A202" s="4" t="s">
        <v>254</v>
      </c>
      <c r="B202" s="5" t="s">
        <v>336</v>
      </c>
      <c r="C202" s="161">
        <v>1162.3</v>
      </c>
      <c r="D202" s="94">
        <v>1.9E-2</v>
      </c>
      <c r="E202" s="155">
        <f>14219*104/100</f>
        <v>14787.76</v>
      </c>
      <c r="F202" s="136">
        <f>E202/D$33</f>
        <v>2.1535468274425855</v>
      </c>
    </row>
    <row r="203" spans="1:6" ht="17" hidden="1" outlineLevel="1">
      <c r="A203" s="4" t="s">
        <v>255</v>
      </c>
      <c r="B203" s="5" t="s">
        <v>161</v>
      </c>
      <c r="C203" s="161">
        <v>1162.3</v>
      </c>
      <c r="D203" s="94">
        <v>1.9E-2</v>
      </c>
      <c r="E203" s="155">
        <f>9220*104/100</f>
        <v>9588.7999999999993</v>
      </c>
      <c r="F203" s="136">
        <f t="shared" ref="F203:F204" si="16">E203/D$33</f>
        <v>1.3964204057261858</v>
      </c>
    </row>
    <row r="204" spans="1:6" ht="17" hidden="1" outlineLevel="1">
      <c r="A204" s="4" t="s">
        <v>256</v>
      </c>
      <c r="B204" s="5" t="s">
        <v>337</v>
      </c>
      <c r="C204" s="161">
        <v>1162.3</v>
      </c>
      <c r="D204" s="94">
        <v>0.59499999999999997</v>
      </c>
      <c r="E204" s="155">
        <f>42099*104/100</f>
        <v>43782.96</v>
      </c>
      <c r="F204" s="136">
        <f t="shared" si="16"/>
        <v>6.376128271221984</v>
      </c>
    </row>
    <row r="205" spans="1:6" ht="16" customHeight="1" collapsed="1">
      <c r="A205" s="238" t="s">
        <v>335</v>
      </c>
      <c r="B205" s="238"/>
      <c r="C205" s="238"/>
      <c r="D205" s="238"/>
      <c r="E205" s="137">
        <f>SUM(E207:E215)</f>
        <v>72467.989999999991</v>
      </c>
      <c r="F205" s="137">
        <f>SUM(F207:F215)</f>
        <v>10.553539545924535</v>
      </c>
    </row>
    <row r="206" spans="1:6" ht="17">
      <c r="A206" s="50" t="s">
        <v>72</v>
      </c>
      <c r="B206" s="50">
        <v>2</v>
      </c>
      <c r="C206" s="138">
        <v>3</v>
      </c>
      <c r="D206" s="50">
        <v>4</v>
      </c>
      <c r="E206" s="138">
        <v>5</v>
      </c>
      <c r="F206" s="138">
        <v>6</v>
      </c>
    </row>
    <row r="207" spans="1:6" ht="17" hidden="1" outlineLevel="1">
      <c r="A207" s="4" t="s">
        <v>254</v>
      </c>
      <c r="B207" s="5" t="s">
        <v>253</v>
      </c>
      <c r="C207" s="81" t="s">
        <v>257</v>
      </c>
      <c r="D207" s="8" t="s">
        <v>258</v>
      </c>
      <c r="E207" s="170">
        <v>32000</v>
      </c>
      <c r="F207" s="136">
        <f t="shared" ref="F207:F215" si="17">E207/D$33</f>
        <v>4.6601715525652789</v>
      </c>
    </row>
    <row r="208" spans="1:6" ht="17" hidden="1" outlineLevel="1">
      <c r="A208" s="4" t="s">
        <v>255</v>
      </c>
      <c r="B208" s="5" t="s">
        <v>400</v>
      </c>
      <c r="C208" s="81"/>
      <c r="D208" s="8"/>
      <c r="E208" s="83">
        <f>12322.82+1625.58+1951.2</f>
        <v>15899.6</v>
      </c>
      <c r="F208" s="136">
        <f t="shared" si="17"/>
        <v>2.3154644880364659</v>
      </c>
    </row>
    <row r="209" spans="1:6" ht="17" hidden="1" outlineLevel="2">
      <c r="A209" s="4"/>
      <c r="B209" s="5" t="s">
        <v>344</v>
      </c>
      <c r="C209" s="81"/>
      <c r="D209" s="8"/>
      <c r="E209" s="83"/>
      <c r="F209" s="136">
        <f t="shared" si="17"/>
        <v>0</v>
      </c>
    </row>
    <row r="210" spans="1:6" ht="17" hidden="1" outlineLevel="2">
      <c r="A210" s="4"/>
      <c r="B210" s="5" t="s">
        <v>345</v>
      </c>
      <c r="C210" s="81"/>
      <c r="D210" s="8"/>
      <c r="E210" s="83"/>
      <c r="F210" s="136">
        <f t="shared" si="17"/>
        <v>0</v>
      </c>
    </row>
    <row r="211" spans="1:6" s="89" customFormat="1" ht="34" hidden="1" outlineLevel="1" collapsed="1">
      <c r="A211" s="91" t="s">
        <v>256</v>
      </c>
      <c r="B211" s="80" t="s">
        <v>365</v>
      </c>
      <c r="C211" s="82"/>
      <c r="D211" s="92"/>
      <c r="E211" s="194">
        <v>19568.39</v>
      </c>
      <c r="F211" s="169">
        <f t="shared" si="17"/>
        <v>2.849751700234465</v>
      </c>
    </row>
    <row r="212" spans="1:6" ht="17" hidden="1" outlineLevel="1">
      <c r="A212" s="4" t="s">
        <v>259</v>
      </c>
      <c r="B212" s="5" t="s">
        <v>343</v>
      </c>
      <c r="C212" s="83">
        <f>D33</f>
        <v>6866.7</v>
      </c>
      <c r="D212" s="199">
        <v>0</v>
      </c>
      <c r="E212" s="83">
        <f>C212*D212*12</f>
        <v>0</v>
      </c>
      <c r="F212" s="81">
        <f>E212/D$33</f>
        <v>0</v>
      </c>
    </row>
    <row r="213" spans="1:6" s="89" customFormat="1" ht="34" hidden="1" outlineLevel="2">
      <c r="A213" s="91" t="s">
        <v>332</v>
      </c>
      <c r="B213" s="80" t="s">
        <v>348</v>
      </c>
      <c r="C213" s="84">
        <v>84.4</v>
      </c>
      <c r="D213" s="192">
        <v>0</v>
      </c>
      <c r="E213" s="84">
        <f>C213*D213*12</f>
        <v>0</v>
      </c>
      <c r="F213" s="82">
        <f t="shared" si="17"/>
        <v>0</v>
      </c>
    </row>
    <row r="214" spans="1:6" s="89" customFormat="1" ht="17" hidden="1" outlineLevel="1" collapsed="1">
      <c r="A214" s="91" t="s">
        <v>361</v>
      </c>
      <c r="B214" s="80" t="s">
        <v>392</v>
      </c>
      <c r="C214" s="84"/>
      <c r="D214" s="88"/>
      <c r="E214" s="84">
        <f>C214*D214*12</f>
        <v>0</v>
      </c>
      <c r="F214" s="82">
        <f t="shared" si="17"/>
        <v>0</v>
      </c>
    </row>
    <row r="215" spans="1:6" s="89" customFormat="1" ht="17" hidden="1" outlineLevel="1">
      <c r="A215" s="91" t="s">
        <v>396</v>
      </c>
      <c r="B215" s="80" t="s">
        <v>397</v>
      </c>
      <c r="C215" s="84"/>
      <c r="D215" s="88"/>
      <c r="E215" s="84">
        <v>5000</v>
      </c>
      <c r="F215" s="82">
        <f t="shared" si="17"/>
        <v>0.72815180508832489</v>
      </c>
    </row>
    <row r="216" spans="1:6" collapsed="1"/>
  </sheetData>
  <mergeCells count="33">
    <mergeCell ref="A205:D205"/>
    <mergeCell ref="E80:E81"/>
    <mergeCell ref="E88:E97"/>
    <mergeCell ref="E117:E120"/>
    <mergeCell ref="A139:D139"/>
    <mergeCell ref="A175:D175"/>
    <mergeCell ref="A200:D200"/>
    <mergeCell ref="D56:D60"/>
    <mergeCell ref="A61:D61"/>
    <mergeCell ref="E69:E70"/>
    <mergeCell ref="B17:E17"/>
    <mergeCell ref="B18:E18"/>
    <mergeCell ref="B19:E19"/>
    <mergeCell ref="B20:E20"/>
    <mergeCell ref="B21:E21"/>
    <mergeCell ref="A22:F22"/>
    <mergeCell ref="B24:F24"/>
    <mergeCell ref="A36:F36"/>
    <mergeCell ref="A2:F2"/>
    <mergeCell ref="A3:F3"/>
    <mergeCell ref="B6:E6"/>
    <mergeCell ref="B7:E7"/>
    <mergeCell ref="A42:D42"/>
    <mergeCell ref="A4:F4"/>
    <mergeCell ref="B8:E8"/>
    <mergeCell ref="B9:E9"/>
    <mergeCell ref="B12:E12"/>
    <mergeCell ref="B13:E13"/>
    <mergeCell ref="B15:E15"/>
    <mergeCell ref="B16:E16"/>
    <mergeCell ref="B10:E10"/>
    <mergeCell ref="B11:E11"/>
    <mergeCell ref="B14:E14"/>
  </mergeCells>
  <pageMargins left="0.7" right="0.7" top="0.75" bottom="0.75" header="0.3" footer="0.3"/>
  <pageSetup paperSize="9" scale="47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общее</vt:lpstr>
      <vt:lpstr> прил.4 -37,5</vt:lpstr>
      <vt:lpstr>' прил.4 -37,5'!Область_печати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Microsoft Office User</cp:lastModifiedBy>
  <cp:lastPrinted>2021-11-24T11:45:29Z</cp:lastPrinted>
  <dcterms:created xsi:type="dcterms:W3CDTF">2014-05-20T08:02:03Z</dcterms:created>
  <dcterms:modified xsi:type="dcterms:W3CDTF">2021-12-29T06:09:56Z</dcterms:modified>
</cp:coreProperties>
</file>